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3.xml" ContentType="application/vnd.openxmlformats-officedocument.drawing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24"/>
  <workbookPr filterPrivacy="1" codeName="ThisWorkbook"/>
  <xr:revisionPtr revIDLastSave="0" documentId="8_{B781A223-33FA-48B1-9725-AE46FDD86608}" xr6:coauthVersionLast="48" xr6:coauthVersionMax="48" xr10:uidLastSave="{00000000-0000-0000-0000-000000000000}"/>
  <bookViews>
    <workbookView xWindow="-120" yWindow="-16320" windowWidth="29040" windowHeight="15720" xr2:uid="{00000000-000D-0000-FFFF-FFFF00000000}"/>
  </bookViews>
  <sheets>
    <sheet name="Income Inputs" sheetId="3" r:id="rId1"/>
    <sheet name="Expense Inputs" sheetId="7" r:id="rId2"/>
    <sheet name="All Categories" sheetId="8" state="hidden" r:id="rId3"/>
    <sheet name="Budget Summary" sheetId="1" r:id="rId4"/>
  </sheets>
  <definedNames>
    <definedName name="_xlnm._FilterDatabase" localSheetId="3" hidden="1">'Income Inputs'!#REF!</definedName>
    <definedName name="_xlnm._FilterDatabase" localSheetId="0" hidden="1">'Income Inputs'!#REF!</definedName>
    <definedName name="BUDGET_Title">'Budget Summary'!$B$2</definedName>
    <definedName name="ColumnTitle1">'Budget Summary'!$B$6</definedName>
    <definedName name="COMPANY_NAME">'Budget Summary'!$B$1</definedName>
    <definedName name="_xlnm.Print_Titles" localSheetId="0">'Income Inputs'!$5:$5</definedName>
    <definedName name="Title1">#REF!</definedName>
    <definedName name="Title2">Income[[#Headers],[INCOME]]</definedName>
    <definedName name="Title3">#REF!</definedName>
    <definedName name="Title4">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7" l="1"/>
  <c r="F12" i="7"/>
  <c r="F13" i="7"/>
  <c r="E14" i="7"/>
  <c r="D14" i="7"/>
  <c r="B14" i="7"/>
  <c r="F10" i="7"/>
  <c r="F9" i="7"/>
  <c r="F8" i="7"/>
  <c r="F7" i="7"/>
  <c r="F31" i="7"/>
  <c r="E33" i="7"/>
  <c r="D33" i="7"/>
  <c r="B33" i="7"/>
  <c r="F32" i="7"/>
  <c r="F30" i="7"/>
  <c r="F29" i="7"/>
  <c r="F28" i="7"/>
  <c r="F27" i="7"/>
  <c r="F46" i="7"/>
  <c r="F20" i="7"/>
  <c r="F21" i="7"/>
  <c r="B23" i="7"/>
  <c r="B40" i="7"/>
  <c r="B72" i="7"/>
  <c r="B48" i="7"/>
  <c r="B57" i="7"/>
  <c r="B66" i="7"/>
  <c r="B93" i="7"/>
  <c r="B102" i="7"/>
  <c r="B110" i="7"/>
  <c r="E110" i="7"/>
  <c r="D110" i="7"/>
  <c r="F109" i="7"/>
  <c r="F108" i="7"/>
  <c r="F107" i="7"/>
  <c r="F106" i="7"/>
  <c r="E102" i="7"/>
  <c r="D102" i="7"/>
  <c r="F101" i="7"/>
  <c r="F100" i="7"/>
  <c r="F99" i="7"/>
  <c r="F98" i="7"/>
  <c r="F97" i="7"/>
  <c r="E93" i="7"/>
  <c r="D93" i="7"/>
  <c r="F92" i="7"/>
  <c r="F91" i="7"/>
  <c r="F90" i="7"/>
  <c r="F89" i="7"/>
  <c r="F88" i="7"/>
  <c r="E66" i="7"/>
  <c r="D66" i="7"/>
  <c r="F65" i="7"/>
  <c r="F64" i="7"/>
  <c r="F63" i="7"/>
  <c r="F62" i="7"/>
  <c r="F61" i="7"/>
  <c r="E57" i="7"/>
  <c r="D57" i="7"/>
  <c r="F56" i="7"/>
  <c r="F55" i="7"/>
  <c r="F54" i="7"/>
  <c r="F53" i="7"/>
  <c r="F52" i="7"/>
  <c r="E48" i="7"/>
  <c r="D48" i="7"/>
  <c r="F47" i="7"/>
  <c r="F45" i="7"/>
  <c r="F44" i="7"/>
  <c r="E72" i="7"/>
  <c r="D72" i="7"/>
  <c r="F71" i="7"/>
  <c r="F70" i="7"/>
  <c r="C17" i="1" l="1"/>
  <c r="F14" i="7"/>
  <c r="F33" i="7"/>
  <c r="D19" i="1"/>
  <c r="D15" i="1"/>
  <c r="D20" i="1"/>
  <c r="C19" i="1"/>
  <c r="D17" i="1"/>
  <c r="E17" i="1" s="1"/>
  <c r="F17" i="1" s="1"/>
  <c r="C15" i="1"/>
  <c r="C20" i="1"/>
  <c r="D21" i="1"/>
  <c r="C21" i="1"/>
  <c r="C22" i="1"/>
  <c r="D22" i="1"/>
  <c r="F102" i="7"/>
  <c r="F110" i="7"/>
  <c r="F66" i="7"/>
  <c r="F93" i="7"/>
  <c r="F57" i="7"/>
  <c r="F48" i="7"/>
  <c r="F72" i="7"/>
  <c r="E19" i="1" l="1"/>
  <c r="F19" i="1" s="1"/>
  <c r="E20" i="1"/>
  <c r="F20" i="1" s="1"/>
  <c r="E15" i="1"/>
  <c r="F15" i="1" s="1"/>
  <c r="E21" i="1"/>
  <c r="F21" i="1" s="1"/>
  <c r="E22" i="1"/>
  <c r="F22" i="1" s="1"/>
  <c r="E23" i="7" l="1"/>
  <c r="D23" i="7"/>
  <c r="F22" i="7"/>
  <c r="F19" i="7"/>
  <c r="F18" i="7"/>
  <c r="E12" i="3"/>
  <c r="F12" i="3"/>
  <c r="E7" i="3"/>
  <c r="F7" i="3"/>
  <c r="E8" i="3"/>
  <c r="F8" i="3"/>
  <c r="E9" i="3"/>
  <c r="F9" i="3"/>
  <c r="E10" i="3"/>
  <c r="F10" i="3"/>
  <c r="E11" i="3"/>
  <c r="F11" i="3"/>
  <c r="C16" i="1" l="1"/>
  <c r="D16" i="1"/>
  <c r="F23" i="7"/>
  <c r="E40" i="7"/>
  <c r="D40" i="7"/>
  <c r="F39" i="7"/>
  <c r="F38" i="7"/>
  <c r="F37" i="7"/>
  <c r="D8" i="1" l="1"/>
  <c r="D18" i="1"/>
  <c r="D23" i="1" s="1"/>
  <c r="C8" i="1"/>
  <c r="C18" i="1"/>
  <c r="E16" i="1"/>
  <c r="F16" i="1" s="1"/>
  <c r="F40" i="7"/>
  <c r="E18" i="1" l="1"/>
  <c r="F18" i="1" s="1"/>
  <c r="C23" i="1"/>
  <c r="E23" i="1" s="1"/>
  <c r="F23" i="1" s="1"/>
  <c r="E8" i="1"/>
  <c r="F8" i="1"/>
  <c r="D14" i="3"/>
  <c r="D7" i="1" s="1"/>
  <c r="C14" i="3"/>
  <c r="F6" i="3"/>
  <c r="F13" i="3"/>
  <c r="E13" i="3"/>
  <c r="E6" i="3"/>
  <c r="C7" i="1" l="1"/>
  <c r="E7" i="1" s="1"/>
  <c r="D9" i="1"/>
  <c r="F14" i="3"/>
  <c r="C9" i="1" l="1"/>
  <c r="F9" i="1"/>
  <c r="F7" i="1"/>
  <c r="E9" i="1"/>
</calcChain>
</file>

<file path=xl/sharedStrings.xml><?xml version="1.0" encoding="utf-8"?>
<sst xmlns="http://schemas.openxmlformats.org/spreadsheetml/2006/main" count="485" uniqueCount="140">
  <si>
    <t xml:space="preserve">     [INSERT MONTH]</t>
  </si>
  <si>
    <t xml:space="preserve">  INCOME</t>
  </si>
  <si>
    <t>*Update column C and D</t>
  </si>
  <si>
    <t>INCOME</t>
  </si>
  <si>
    <t>ESTIMATED</t>
  </si>
  <si>
    <t>ACTUAL</t>
  </si>
  <si>
    <t>TOP 5 AMOUNT</t>
  </si>
  <si>
    <t>DIFFERENCE</t>
  </si>
  <si>
    <t>Paycheck</t>
  </si>
  <si>
    <t>Investment</t>
  </si>
  <si>
    <t>Returned Purchase</t>
  </si>
  <si>
    <t>Bonus</t>
  </si>
  <si>
    <t>Interest Income</t>
  </si>
  <si>
    <t>Reimbursement</t>
  </si>
  <si>
    <t>Rental Income</t>
  </si>
  <si>
    <t>Other Income</t>
  </si>
  <si>
    <t>Total Income</t>
  </si>
  <si>
    <t xml:space="preserve">  EXPENSES</t>
  </si>
  <si>
    <t>*Update column D and E within each table</t>
  </si>
  <si>
    <t>Home</t>
  </si>
  <si>
    <t>EXPENSES</t>
  </si>
  <si>
    <t>Category</t>
  </si>
  <si>
    <t>Furnishings</t>
  </si>
  <si>
    <t>Home Improvement</t>
  </si>
  <si>
    <t>Home Insurance</t>
  </si>
  <si>
    <t>Home Services</t>
  </si>
  <si>
    <t>Home Supplies</t>
  </si>
  <si>
    <t>Lawn &amp; Garden</t>
  </si>
  <si>
    <t>Mortgage &amp; Rent</t>
  </si>
  <si>
    <t>-</t>
  </si>
  <si>
    <t>Bills &amp; Utilities</t>
  </si>
  <si>
    <t>Home Phone</t>
  </si>
  <si>
    <t>Internet</t>
  </si>
  <si>
    <t>Mobile Phone</t>
  </si>
  <si>
    <t>Television</t>
  </si>
  <si>
    <t>Utilities</t>
  </si>
  <si>
    <t>Kids</t>
  </si>
  <si>
    <t>Allowance</t>
  </si>
  <si>
    <t>Baby Supplies</t>
  </si>
  <si>
    <t>Babysitter &amp; Daycare</t>
  </si>
  <si>
    <t>Child Support</t>
  </si>
  <si>
    <t>Kids Activities</t>
  </si>
  <si>
    <t>Toys</t>
  </si>
  <si>
    <t>Auto &amp; Transport</t>
  </si>
  <si>
    <t>Auto Insurance</t>
  </si>
  <si>
    <t>Auto Payment</t>
  </si>
  <si>
    <t>Gas &amp; Fuel</t>
  </si>
  <si>
    <t>Personal Care</t>
  </si>
  <si>
    <t>Dentist</t>
  </si>
  <si>
    <t>Health &amp; Fitness</t>
  </si>
  <si>
    <t>Doctor</t>
  </si>
  <si>
    <t>Gym</t>
  </si>
  <si>
    <t>Health Insurance</t>
  </si>
  <si>
    <t>Food &amp; Dining</t>
  </si>
  <si>
    <t>Groceries</t>
  </si>
  <si>
    <t>Coffee Shops</t>
  </si>
  <si>
    <t>Fast Food</t>
  </si>
  <si>
    <t>Restaurants</t>
  </si>
  <si>
    <t>Alcohol</t>
  </si>
  <si>
    <t>Investments</t>
  </si>
  <si>
    <t>Deposit</t>
  </si>
  <si>
    <t>Withdrawal</t>
  </si>
  <si>
    <t>Dividends &amp; Cap Gains</t>
  </si>
  <si>
    <t>Buy</t>
  </si>
  <si>
    <t>Sell</t>
  </si>
  <si>
    <t>Entertainment</t>
  </si>
  <si>
    <t>Amusement</t>
  </si>
  <si>
    <t>Movies &amp; DVDs</t>
  </si>
  <si>
    <t>Auto &amp; Transportation</t>
  </si>
  <si>
    <t>Parking</t>
  </si>
  <si>
    <t>Service &amp; Auto Parts</t>
  </si>
  <si>
    <t>Travel</t>
  </si>
  <si>
    <t>Air Travel</t>
  </si>
  <si>
    <t>Hotel</t>
  </si>
  <si>
    <t>Rental Car &amp; Taxi</t>
  </si>
  <si>
    <t>Vacation</t>
  </si>
  <si>
    <t>Parent</t>
  </si>
  <si>
    <t>Item</t>
  </si>
  <si>
    <t>Income / Expense</t>
  </si>
  <si>
    <t>Income</t>
  </si>
  <si>
    <t>Arts</t>
  </si>
  <si>
    <t>Expenses</t>
  </si>
  <si>
    <t>Music</t>
  </si>
  <si>
    <t>Newspaper &amp; Magazines</t>
  </si>
  <si>
    <t>Education</t>
  </si>
  <si>
    <t>Tuition</t>
  </si>
  <si>
    <t>Student Loan</t>
  </si>
  <si>
    <t>Books &amp; Supplies</t>
  </si>
  <si>
    <t>Shopping</t>
  </si>
  <si>
    <t>Clothing</t>
  </si>
  <si>
    <t>Books</t>
  </si>
  <si>
    <t>Electronics &amp; Software</t>
  </si>
  <si>
    <t>Hobbies</t>
  </si>
  <si>
    <t>Sporting Goods</t>
  </si>
  <si>
    <t>Laundry</t>
  </si>
  <si>
    <t>Hair</t>
  </si>
  <si>
    <t>Spa &amp; Massage</t>
  </si>
  <si>
    <t>Eye Care</t>
  </si>
  <si>
    <t>Pharmacy</t>
  </si>
  <si>
    <t>Sports</t>
  </si>
  <si>
    <t>Activities</t>
  </si>
  <si>
    <t>Gifts &amp; Donations</t>
  </si>
  <si>
    <t>Gift</t>
  </si>
  <si>
    <t>Charity</t>
  </si>
  <si>
    <t>Fees &amp; Charges</t>
  </si>
  <si>
    <t>Service Fee</t>
  </si>
  <si>
    <t>Late Fee</t>
  </si>
  <si>
    <t>Finance Charge</t>
  </si>
  <si>
    <t>ATM Fee</t>
  </si>
  <si>
    <t>Bank Fee</t>
  </si>
  <si>
    <t>Commissions</t>
  </si>
  <si>
    <t>Business Services</t>
  </si>
  <si>
    <t>Advertising</t>
  </si>
  <si>
    <t>Office Supplies</t>
  </si>
  <si>
    <t>Printing</t>
  </si>
  <si>
    <t>Shipping</t>
  </si>
  <si>
    <t>Legal</t>
  </si>
  <si>
    <t>Taxes</t>
  </si>
  <si>
    <t>Federal Tax</t>
  </si>
  <si>
    <t>State Tax</t>
  </si>
  <si>
    <t>Local Tax</t>
  </si>
  <si>
    <t>Sales Tax</t>
  </si>
  <si>
    <t>Property Tax</t>
  </si>
  <si>
    <t xml:space="preserve">  HOUSEHOLD BUDGET TRACKER</t>
  </si>
  <si>
    <t>*Automatic view based on "Income Inputs" and "Expense Inputs"</t>
  </si>
  <si>
    <t>Budget Breakdown</t>
  </si>
  <si>
    <t>BUDGET TOTALS</t>
  </si>
  <si>
    <t>% DIFFERENCE</t>
  </si>
  <si>
    <t>Total Expenses</t>
  </si>
  <si>
    <t>Balance (Income - Expenses)</t>
  </si>
  <si>
    <t>EXPENSE CATEGORIES</t>
  </si>
  <si>
    <t>Status</t>
  </si>
  <si>
    <t>Total Home</t>
  </si>
  <si>
    <t>Total Bills &amp; Utilities</t>
  </si>
  <si>
    <t>Total Kids</t>
  </si>
  <si>
    <t>Total Auto &amp; Transport</t>
  </si>
  <si>
    <t>Total Personal Care</t>
  </si>
  <si>
    <t>Total Food &amp; Dining</t>
  </si>
  <si>
    <t>Total Investments</t>
  </si>
  <si>
    <t>Total Entertainment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</si>
</sst>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mmmm\ yyyy"/>
    <numFmt numFmtId="165" formatCode="0.0%"/>
    <numFmt numFmtId="166" formatCode="mm/dd/yy;@"/>
    <numFmt numFmtId="167" formatCode="&quot;$&quot;#,##0"/>
    <numFmt numFmtId="168" formatCode="&quot;$&quot;#,##0.00"/>
  </numFmts>
  <fonts count="32">
    <font>
      <sz val="11"/>
      <color theme="1" tint="0.2499465926084170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9" tint="-0.499984740745262"/>
      <name val="Gill Sans MT"/>
      <family val="2"/>
      <scheme val="minor"/>
    </font>
    <font>
      <sz val="11"/>
      <name val="Gill Sans MT"/>
      <family val="2"/>
      <scheme val="minor"/>
    </font>
    <font>
      <sz val="11"/>
      <color rgb="FF6C0000"/>
      <name val="Gill Sans MT"/>
      <family val="2"/>
      <scheme val="minor"/>
    </font>
    <font>
      <sz val="36"/>
      <color theme="3"/>
      <name val="Gill Sans MT"/>
      <family val="2"/>
      <scheme val="major"/>
    </font>
    <font>
      <sz val="11"/>
      <color theme="3"/>
      <name val="Gill Sans MT"/>
      <family val="2"/>
      <scheme val="major"/>
    </font>
    <font>
      <sz val="11"/>
      <color theme="1" tint="4.9989318521683403E-2"/>
      <name val="Gill Sans MT"/>
      <family val="2"/>
      <scheme val="major"/>
    </font>
    <font>
      <sz val="11"/>
      <color theme="2"/>
      <name val="Gill Sans MT"/>
      <family val="2"/>
      <scheme val="minor"/>
    </font>
    <font>
      <sz val="11"/>
      <color theme="0"/>
      <name val="Gill Sans MT"/>
      <family val="2"/>
      <scheme val="minor"/>
    </font>
    <font>
      <sz val="11"/>
      <color theme="0"/>
      <name val="Gill Sans MT"/>
      <family val="2"/>
      <scheme val="major"/>
    </font>
    <font>
      <sz val="15"/>
      <color theme="0"/>
      <name val="Gill Sans MT"/>
      <family val="2"/>
      <scheme val="major"/>
    </font>
    <font>
      <sz val="30"/>
      <color theme="0"/>
      <name val="Gill Sans MT"/>
      <family val="2"/>
      <scheme val="major"/>
    </font>
    <font>
      <sz val="11"/>
      <color theme="1" tint="0.24994659260841701"/>
      <name val="Gill Sans MT"/>
      <family val="2"/>
      <scheme val="minor"/>
    </font>
    <font>
      <b/>
      <sz val="11"/>
      <name val="Gill Sans MT"/>
      <family val="2"/>
      <scheme val="minor"/>
    </font>
    <font>
      <sz val="12"/>
      <color theme="0"/>
      <name val="Gill Sans MT"/>
      <family val="2"/>
      <scheme val="minor"/>
    </font>
    <font>
      <b/>
      <u/>
      <sz val="11"/>
      <color theme="1" tint="0.24994659260841701"/>
      <name val="Gill Sans MT"/>
      <family val="2"/>
      <scheme val="minor"/>
    </font>
    <font>
      <sz val="11"/>
      <color theme="3" tint="0.24994659260841701"/>
      <name val="Gill Sans MT"/>
      <family val="2"/>
      <scheme val="minor"/>
    </font>
    <font>
      <b/>
      <sz val="10"/>
      <color theme="3" tint="9.9948118533890809E-2"/>
      <name val="Gill Sans MT"/>
      <family val="2"/>
      <scheme val="major"/>
    </font>
    <font>
      <sz val="24"/>
      <color theme="3" tint="0.24994659260841701"/>
      <name val="Gill Sans MT"/>
      <family val="2"/>
      <scheme val="minor"/>
    </font>
    <font>
      <sz val="20"/>
      <color theme="0"/>
      <name val="Gill Sans MT"/>
      <family val="2"/>
      <scheme val="major"/>
    </font>
    <font>
      <sz val="13"/>
      <color theme="3" tint="0.24994659260841701"/>
      <name val="Gill Sans MT"/>
      <family val="2"/>
      <scheme val="major"/>
    </font>
    <font>
      <sz val="11"/>
      <color theme="4" tint="-0.24994659260841701"/>
      <name val="Gill Sans MT"/>
      <family val="2"/>
      <scheme val="major"/>
    </font>
    <font>
      <b/>
      <sz val="11"/>
      <color theme="0"/>
      <name val="Gill Sans MT"/>
      <family val="2"/>
      <scheme val="minor"/>
    </font>
    <font>
      <b/>
      <sz val="11"/>
      <color theme="1"/>
      <name val="Gill Sans MT"/>
      <family val="2"/>
      <scheme val="minor"/>
    </font>
    <font>
      <b/>
      <sz val="14"/>
      <color theme="1"/>
      <name val="Gill Sans MT"/>
      <family val="2"/>
      <scheme val="minor"/>
    </font>
    <font>
      <sz val="11"/>
      <color rgb="FF000000"/>
      <name val="Gill Sans MT"/>
      <family val="2"/>
    </font>
    <font>
      <sz val="11"/>
      <color theme="1" tint="0.24994659260841701"/>
      <name val="Arial"/>
      <family val="2"/>
    </font>
    <font>
      <sz val="11"/>
      <color theme="1" tint="0.24994659260841701"/>
      <name val="Calibri"/>
      <family val="2"/>
    </font>
    <font>
      <sz val="10"/>
      <color theme="1"/>
      <name val="Gill Sans MT"/>
      <family val="2"/>
      <scheme val="major"/>
    </font>
    <font>
      <sz val="30"/>
      <color rgb="FF000000"/>
      <name val="Gill Sans M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DF8"/>
        <bgColor indexed="64"/>
      </patternFill>
    </fill>
    <fill>
      <patternFill patternType="solid">
        <fgColor rgb="FFF2F2F2"/>
      </patternFill>
    </fill>
    <fill>
      <patternFill patternType="solid">
        <fgColor rgb="FF1B8381"/>
        <bgColor indexed="64"/>
      </patternFill>
    </fill>
    <fill>
      <patternFill patternType="solid">
        <fgColor theme="3" tint="9.9948118533890809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3A18F"/>
        <bgColor indexed="64"/>
      </patternFill>
    </fill>
    <fill>
      <patternFill patternType="solid">
        <fgColor rgb="FFFFF2CC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2" tint="-0.24994659260841701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double">
        <color theme="8"/>
      </top>
      <bottom/>
      <diagonal/>
    </border>
  </borders>
  <cellStyleXfs count="26">
    <xf numFmtId="40" fontId="0" fillId="0" borderId="0">
      <alignment horizontal="center" vertical="center" wrapText="1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16" fillId="0" borderId="0" applyNumberFormat="0" applyFill="0" applyAlignment="0" applyProtection="0"/>
    <xf numFmtId="0" fontId="8" fillId="5" borderId="0" applyBorder="0" applyProtection="0">
      <alignment horizontal="left" vertical="center" indent="1"/>
    </xf>
    <xf numFmtId="0" fontId="8" fillId="5" borderId="0" applyNumberFormat="0" applyBorder="0" applyProtection="0">
      <alignment horizontal="left" vertical="center"/>
    </xf>
    <xf numFmtId="0" fontId="2" fillId="0" borderId="0" applyNumberFormat="0" applyFill="0" applyAlignment="0" applyProtection="0"/>
    <xf numFmtId="0" fontId="5" fillId="0" borderId="0" applyNumberFormat="0" applyFill="0" applyBorder="0" applyAlignment="0" applyProtection="0"/>
    <xf numFmtId="40" fontId="2" fillId="0" borderId="0" applyFont="0" applyFill="0" applyBorder="0" applyProtection="0">
      <alignment horizontal="right"/>
    </xf>
    <xf numFmtId="165" fontId="2" fillId="0" borderId="0" applyFont="0" applyFill="0" applyBorder="0" applyProtection="0">
      <alignment horizontal="right"/>
    </xf>
    <xf numFmtId="164" fontId="7" fillId="4" borderId="0" applyFill="0" applyBorder="0">
      <alignment horizontal="right"/>
    </xf>
    <xf numFmtId="0" fontId="14" fillId="0" borderId="0" applyNumberFormat="0" applyProtection="0">
      <alignment horizontal="left" vertical="center" indent="1"/>
    </xf>
    <xf numFmtId="0" fontId="15" fillId="7" borderId="1" applyNumberFormat="0" applyFill="0" applyBorder="0" applyAlignment="0" applyProtection="0"/>
    <xf numFmtId="0" fontId="18" fillId="0" borderId="0"/>
    <xf numFmtId="0" fontId="21" fillId="9" borderId="0" applyNumberFormat="0" applyProtection="0">
      <alignment horizontal="left" vertical="center"/>
    </xf>
    <xf numFmtId="0" fontId="22" fillId="0" borderId="0" applyNumberFormat="0" applyProtection="0">
      <alignment horizontal="left"/>
    </xf>
    <xf numFmtId="0" fontId="23" fillId="0" borderId="2" applyNumberFormat="0" applyAlignment="0" applyProtection="0"/>
    <xf numFmtId="167" fontId="20" fillId="0" borderId="0" applyAlignment="0" applyProtection="0"/>
    <xf numFmtId="0" fontId="19" fillId="0" borderId="0" applyNumberFormat="0" applyFill="0" applyBorder="0" applyAlignment="0" applyProtection="0"/>
    <xf numFmtId="167" fontId="20" fillId="0" borderId="0">
      <alignment horizontal="left" vertical="top"/>
    </xf>
    <xf numFmtId="168" fontId="18" fillId="0" borderId="0">
      <alignment horizontal="left" vertical="center"/>
    </xf>
    <xf numFmtId="0" fontId="18" fillId="0" borderId="0">
      <alignment horizontal="left" vertical="center" wrapText="1"/>
    </xf>
    <xf numFmtId="14" fontId="18" fillId="0" borderId="0">
      <alignment horizontal="left" vertical="center"/>
    </xf>
    <xf numFmtId="44" fontId="14" fillId="0" borderId="0" applyFont="0" applyFill="0" applyBorder="0" applyAlignment="0" applyProtection="0"/>
  </cellStyleXfs>
  <cellXfs count="68">
    <xf numFmtId="40" fontId="0" fillId="0" borderId="0" xfId="0">
      <alignment horizontal="center" vertical="center" wrapText="1"/>
    </xf>
    <xf numFmtId="40" fontId="0" fillId="4" borderId="0" xfId="0" applyFill="1">
      <alignment horizontal="center" vertical="center" wrapText="1"/>
    </xf>
    <xf numFmtId="40" fontId="0" fillId="0" borderId="0" xfId="0" applyAlignment="1">
      <alignment vertical="center"/>
    </xf>
    <xf numFmtId="40" fontId="0" fillId="4" borderId="0" xfId="0" applyFill="1" applyAlignment="1">
      <alignment vertical="center"/>
    </xf>
    <xf numFmtId="40" fontId="10" fillId="4" borderId="0" xfId="0" applyFont="1" applyFill="1">
      <alignment horizontal="center" vertical="center" wrapText="1"/>
    </xf>
    <xf numFmtId="40" fontId="0" fillId="6" borderId="0" xfId="0" applyFill="1">
      <alignment horizontal="center" vertical="center" wrapText="1"/>
    </xf>
    <xf numFmtId="40" fontId="4" fillId="6" borderId="0" xfId="4" applyNumberFormat="1" applyFont="1" applyFill="1"/>
    <xf numFmtId="40" fontId="0" fillId="6" borderId="0" xfId="0" applyFill="1" applyAlignment="1">
      <alignment vertical="center"/>
    </xf>
    <xf numFmtId="40" fontId="4" fillId="6" borderId="0" xfId="8" applyNumberFormat="1" applyFont="1" applyFill="1"/>
    <xf numFmtId="40" fontId="10" fillId="0" borderId="0" xfId="0" applyFont="1">
      <alignment horizontal="center" vertical="center" wrapText="1"/>
    </xf>
    <xf numFmtId="40" fontId="9" fillId="0" borderId="0" xfId="0" applyFont="1">
      <alignment horizontal="center" vertical="center" wrapText="1"/>
    </xf>
    <xf numFmtId="0" fontId="6" fillId="0" borderId="0" xfId="1"/>
    <xf numFmtId="166" fontId="11" fillId="8" borderId="0" xfId="0" applyNumberFormat="1" applyFont="1" applyFill="1" applyAlignment="1">
      <alignment horizontal="left" wrapText="1"/>
    </xf>
    <xf numFmtId="40" fontId="0" fillId="8" borderId="0" xfId="0" applyFill="1">
      <alignment horizontal="center" vertical="center" wrapText="1"/>
    </xf>
    <xf numFmtId="40" fontId="13" fillId="8" borderId="0" xfId="0" applyFont="1" applyFill="1" applyAlignment="1">
      <alignment vertical="center" wrapText="1"/>
    </xf>
    <xf numFmtId="40" fontId="16" fillId="8" borderId="0" xfId="5" applyNumberFormat="1" applyFill="1" applyAlignment="1">
      <alignment horizontal="left" vertical="center" indent="1"/>
    </xf>
    <xf numFmtId="40" fontId="16" fillId="8" borderId="0" xfId="5" applyNumberFormat="1" applyFill="1" applyAlignment="1">
      <alignment horizontal="center" vertical="center" wrapText="1"/>
    </xf>
    <xf numFmtId="40" fontId="13" fillId="0" borderId="0" xfId="0" applyFont="1" applyAlignment="1">
      <alignment vertical="center" wrapText="1"/>
    </xf>
    <xf numFmtId="40" fontId="0" fillId="0" borderId="0" xfId="0" applyAlignment="1">
      <alignment horizontal="center" wrapText="1"/>
    </xf>
    <xf numFmtId="40" fontId="13" fillId="8" borderId="0" xfId="0" applyFont="1" applyFill="1" applyAlignment="1">
      <alignment vertical="center"/>
    </xf>
    <xf numFmtId="40" fontId="12" fillId="8" borderId="0" xfId="0" applyFont="1" applyFill="1" applyAlignment="1">
      <alignment wrapText="1"/>
    </xf>
    <xf numFmtId="40" fontId="14" fillId="0" borderId="0" xfId="13" applyNumberFormat="1">
      <alignment horizontal="left" vertical="center" indent="1"/>
    </xf>
    <xf numFmtId="165" fontId="4" fillId="7" borderId="0" xfId="11" applyFont="1" applyFill="1" applyBorder="1" applyAlignment="1">
      <alignment horizontal="center" vertical="center"/>
    </xf>
    <xf numFmtId="40" fontId="17" fillId="10" borderId="0" xfId="0" applyFont="1" applyFill="1" applyAlignment="1">
      <alignment horizontal="left" vertical="center" indent="1"/>
    </xf>
    <xf numFmtId="40" fontId="0" fillId="10" borderId="0" xfId="0" applyFill="1" applyAlignment="1">
      <alignment horizontal="left" vertical="center" indent="1"/>
    </xf>
    <xf numFmtId="44" fontId="4" fillId="0" borderId="0" xfId="25" applyFont="1" applyBorder="1" applyAlignment="1">
      <alignment horizontal="center" vertical="center" wrapText="1"/>
    </xf>
    <xf numFmtId="44" fontId="15" fillId="7" borderId="0" xfId="25" applyFont="1" applyFill="1" applyBorder="1" applyAlignment="1">
      <alignment horizontal="center" vertical="center" wrapText="1"/>
    </xf>
    <xf numFmtId="44" fontId="0" fillId="0" borderId="0" xfId="25" applyFont="1" applyAlignment="1">
      <alignment horizontal="center" vertical="center" wrapText="1"/>
    </xf>
    <xf numFmtId="44" fontId="15" fillId="10" borderId="0" xfId="25" applyFont="1" applyFill="1" applyBorder="1" applyAlignment="1">
      <alignment horizontal="center" vertical="center" wrapText="1"/>
    </xf>
    <xf numFmtId="40" fontId="0" fillId="0" borderId="0" xfId="0" applyAlignment="1">
      <alignment horizontal="center" vertical="center"/>
    </xf>
    <xf numFmtId="40" fontId="0" fillId="0" borderId="0" xfId="0" applyAlignment="1"/>
    <xf numFmtId="44" fontId="0" fillId="10" borderId="0" xfId="0" applyNumberFormat="1" applyFill="1">
      <alignment horizontal="center" vertical="center" wrapText="1"/>
    </xf>
    <xf numFmtId="40" fontId="1" fillId="0" borderId="3" xfId="0" applyFont="1" applyBorder="1" applyAlignment="1"/>
    <xf numFmtId="40" fontId="1" fillId="0" borderId="4" xfId="0" applyFont="1" applyBorder="1" applyAlignment="1"/>
    <xf numFmtId="40" fontId="1" fillId="0" borderId="5" xfId="0" applyFont="1" applyBorder="1" applyAlignment="1"/>
    <xf numFmtId="40" fontId="1" fillId="0" borderId="6" xfId="0" applyFont="1" applyBorder="1" applyAlignment="1"/>
    <xf numFmtId="44" fontId="0" fillId="0" borderId="0" xfId="25" applyFont="1" applyBorder="1" applyAlignment="1">
      <alignment horizontal="center" vertical="center" wrapText="1"/>
    </xf>
    <xf numFmtId="44" fontId="1" fillId="0" borderId="4" xfId="25" applyFont="1" applyBorder="1" applyAlignment="1">
      <alignment horizontal="center" vertical="center" wrapText="1"/>
    </xf>
    <xf numFmtId="40" fontId="0" fillId="0" borderId="0" xfId="0" applyAlignment="1">
      <alignment horizontal="left" vertical="center" indent="1"/>
    </xf>
    <xf numFmtId="40" fontId="24" fillId="8" borderId="0" xfId="0" applyFont="1" applyFill="1">
      <alignment horizontal="center" vertical="center" wrapText="1"/>
    </xf>
    <xf numFmtId="40" fontId="25" fillId="10" borderId="7" xfId="0" applyFont="1" applyFill="1" applyBorder="1" applyAlignment="1">
      <alignment horizontal="center" vertical="center"/>
    </xf>
    <xf numFmtId="44" fontId="25" fillId="10" borderId="7" xfId="0" applyNumberFormat="1" applyFont="1" applyFill="1" applyBorder="1">
      <alignment horizontal="center" vertical="center" wrapText="1"/>
    </xf>
    <xf numFmtId="44" fontId="27" fillId="0" borderId="0" xfId="25" applyFont="1" applyFill="1" applyAlignment="1">
      <alignment horizontal="center" vertical="center" wrapText="1"/>
    </xf>
    <xf numFmtId="40" fontId="26" fillId="11" borderId="3" xfId="0" applyFont="1" applyFill="1" applyBorder="1" applyAlignment="1">
      <alignment horizontal="left" vertical="center" wrapText="1" indent="1"/>
    </xf>
    <xf numFmtId="40" fontId="17" fillId="0" borderId="0" xfId="0" applyFont="1" applyAlignment="1">
      <alignment horizontal="left" vertical="center" indent="1"/>
    </xf>
    <xf numFmtId="44" fontId="15" fillId="0" borderId="0" xfId="25" applyFont="1" applyFill="1" applyBorder="1" applyAlignment="1">
      <alignment horizontal="center" vertical="center" wrapText="1"/>
    </xf>
    <xf numFmtId="165" fontId="4" fillId="0" borderId="0" xfId="11" applyFont="1" applyFill="1" applyBorder="1" applyAlignment="1">
      <alignment horizontal="center" vertical="center"/>
    </xf>
    <xf numFmtId="44" fontId="25" fillId="0" borderId="4" xfId="25" applyFont="1" applyBorder="1" applyAlignment="1">
      <alignment horizontal="center" vertical="center" wrapText="1"/>
    </xf>
    <xf numFmtId="165" fontId="15" fillId="7" borderId="0" xfId="11" applyFont="1" applyFill="1" applyBorder="1" applyAlignment="1">
      <alignment horizontal="center" vertical="center"/>
    </xf>
    <xf numFmtId="40" fontId="26" fillId="11" borderId="0" xfId="0" applyFont="1" applyFill="1" applyAlignment="1">
      <alignment horizontal="left" vertical="center" wrapText="1" indent="1"/>
    </xf>
    <xf numFmtId="40" fontId="0" fillId="8" borderId="0" xfId="0" applyFill="1" applyAlignment="1">
      <alignment horizontal="left" vertical="center" wrapText="1" indent="1"/>
    </xf>
    <xf numFmtId="40" fontId="0" fillId="10" borderId="0" xfId="0" applyFill="1" applyAlignment="1">
      <alignment horizontal="center" vertical="center"/>
    </xf>
    <xf numFmtId="40" fontId="0" fillId="0" borderId="0" xfId="0" applyAlignment="1">
      <alignment horizontal="left" vertical="center" wrapText="1" indent="1"/>
    </xf>
    <xf numFmtId="40" fontId="29" fillId="0" borderId="0" xfId="0" applyFont="1" applyAlignment="1">
      <alignment horizontal="center" vertical="center"/>
    </xf>
    <xf numFmtId="40" fontId="1" fillId="0" borderId="0" xfId="0" applyFont="1" applyAlignment="1">
      <alignment horizontal="left" vertical="center" indent="1"/>
    </xf>
    <xf numFmtId="40" fontId="1" fillId="0" borderId="0" xfId="0" applyFont="1" applyAlignment="1">
      <alignment horizontal="center" vertical="center"/>
    </xf>
    <xf numFmtId="40" fontId="13" fillId="0" borderId="0" xfId="0" applyFont="1" applyAlignment="1">
      <alignment horizontal="left" vertical="center" wrapText="1" indent="1"/>
    </xf>
    <xf numFmtId="40" fontId="28" fillId="0" borderId="0" xfId="0" applyFont="1" applyAlignment="1">
      <alignment horizontal="left" vertical="center" wrapText="1" indent="1"/>
    </xf>
    <xf numFmtId="40" fontId="13" fillId="0" borderId="0" xfId="0" applyFont="1">
      <alignment horizontal="center" vertical="center" wrapText="1"/>
    </xf>
    <xf numFmtId="40" fontId="29" fillId="0" borderId="0" xfId="0" applyFont="1">
      <alignment horizontal="center" vertical="center" wrapText="1"/>
    </xf>
    <xf numFmtId="40" fontId="30" fillId="12" borderId="0" xfId="0" applyFont="1" applyFill="1" applyAlignment="1">
      <alignment vertical="center"/>
    </xf>
    <xf numFmtId="40" fontId="13" fillId="0" borderId="0" xfId="0" applyFont="1" applyAlignment="1">
      <alignment vertical="center"/>
    </xf>
    <xf numFmtId="40" fontId="1" fillId="12" borderId="0" xfId="13" applyNumberFormat="1" applyFont="1" applyFill="1">
      <alignment horizontal="left" vertical="center" indent="1"/>
    </xf>
    <xf numFmtId="40" fontId="31" fillId="12" borderId="0" xfId="0" applyFont="1" applyFill="1" applyAlignment="1">
      <alignment vertical="center"/>
    </xf>
    <xf numFmtId="40" fontId="13" fillId="12" borderId="0" xfId="0" applyFont="1" applyFill="1" applyAlignment="1">
      <alignment vertical="center" wrapText="1"/>
    </xf>
    <xf numFmtId="40" fontId="12" fillId="8" borderId="0" xfId="0" applyFont="1" applyFill="1" applyAlignment="1">
      <alignment horizontal="left" wrapText="1"/>
    </xf>
    <xf numFmtId="40" fontId="13" fillId="8" borderId="0" xfId="0" applyFont="1" applyFill="1" applyAlignment="1">
      <alignment vertical="center" wrapText="1"/>
    </xf>
    <xf numFmtId="40" fontId="0" fillId="8" borderId="0" xfId="0" applyFill="1" applyAlignment="1">
      <alignment horizontal="center" wrapText="1"/>
    </xf>
  </cellXfs>
  <cellStyles count="26">
    <cellStyle name="20% - Accent5" xfId="4" builtinId="46"/>
    <cellStyle name="60% - Accent4" xfId="3" builtinId="44" customBuiltin="1"/>
    <cellStyle name="Amount" xfId="22" xr:uid="{54CC64B0-939B-4A01-9040-95A3DA8C1CD1}"/>
    <cellStyle name="Comma" xfId="10" builtinId="3" customBuiltin="1"/>
    <cellStyle name="Currency" xfId="25" builtinId="4"/>
    <cellStyle name="Date" xfId="12" xr:uid="{00000000-0005-0000-0000-000003000000}"/>
    <cellStyle name="Date 2" xfId="24" xr:uid="{8CF60F69-1270-4398-9C5B-D6731B748598}"/>
    <cellStyle name="Heading 1" xfId="5" builtinId="16" customBuiltin="1"/>
    <cellStyle name="Heading 1 2" xfId="17" xr:uid="{2AF2BEC4-D872-4192-886F-468C4B636A66}"/>
    <cellStyle name="Heading 2" xfId="6" builtinId="17" customBuiltin="1"/>
    <cellStyle name="Heading 2 2" xfId="18" xr:uid="{406A93BB-7EC4-4A06-BB88-25DC873CB170}"/>
    <cellStyle name="Heading 3" xfId="7" builtinId="18" customBuiltin="1"/>
    <cellStyle name="Heading 3 2" xfId="19" xr:uid="{082BF479-28B0-4D1E-84E1-DE3EE4514F31}"/>
    <cellStyle name="Heading 4" xfId="2" builtinId="19" customBuiltin="1"/>
    <cellStyle name="Heading 4 2" xfId="20" xr:uid="{4B336E5A-E772-412D-85AB-78D52FE7D6C2}"/>
    <cellStyle name="Input" xfId="13" builtinId="20" customBuiltin="1"/>
    <cellStyle name="Item" xfId="23" xr:uid="{C86FE3BF-B7A1-4FD4-B40E-A09B80410965}"/>
    <cellStyle name="Normal" xfId="0" builtinId="0" customBuiltin="1"/>
    <cellStyle name="Normal 2" xfId="15" xr:uid="{0F2154B9-2534-49C8-9F30-09DDDAE9B395}"/>
    <cellStyle name="Output" xfId="14" builtinId="21" customBuiltin="1"/>
    <cellStyle name="Percent" xfId="11" builtinId="5" customBuiltin="1"/>
    <cellStyle name="Title" xfId="1" builtinId="15" customBuiltin="1"/>
    <cellStyle name="Title 2" xfId="16" xr:uid="{2D9542AF-7A34-47F6-97DC-699BE4A38E84}"/>
    <cellStyle name="Total" xfId="8" builtinId="25" customBuiltin="1"/>
    <cellStyle name="Totals" xfId="21" xr:uid="{D654A5CE-240D-4A83-994E-010357E98AD0}"/>
    <cellStyle name="Warning Text" xfId="9" builtinId="11" customBuiltin="1"/>
  </cellStyles>
  <dxfs count="19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Gill Sans MT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alignment horizontal="left" vertical="center" textRotation="0" wrapText="0" indent="1" justifyLastLine="0" shrinkToFit="0" readingOrder="0"/>
    </dxf>
    <dxf>
      <border outline="0">
        <right style="thin">
          <color rgb="FF5588A5"/>
        </right>
        <top style="thin">
          <color rgb="FF5588A5"/>
        </top>
        <bottom style="thin">
          <color rgb="FF5588A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Gill Sans MT"/>
        <family val="2"/>
        <scheme val="minor"/>
      </font>
      <fill>
        <patternFill patternType="solid">
          <fgColor indexed="64"/>
          <bgColor rgb="FF1B838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numFmt numFmtId="8" formatCode="#,##0.00_);[Red]\(#,##0.00\)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 tint="0.24994659260841701"/>
        <name val="Gill Sans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/>
        <vertAlign val="baseline"/>
        <sz val="11"/>
        <name val="Gill Sans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</dxf>
    <dxf>
      <fill>
        <patternFill patternType="solid">
          <fgColor indexed="64"/>
          <bgColor rgb="FF1B8381"/>
        </patternFill>
      </fill>
    </dxf>
    <dxf>
      <fill>
        <patternFill>
          <bgColor theme="0" tint="-0.14996795556505021"/>
        </patternFill>
      </fill>
    </dxf>
    <dxf>
      <font>
        <color rgb="FFDA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DA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DA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DA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DA0000"/>
      </font>
    </dxf>
    <dxf>
      <font>
        <color rgb="FFDA0000"/>
      </font>
    </dxf>
    <dxf>
      <font>
        <color rgb="FFDA0000"/>
      </font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1B8381"/>
        </patternFill>
      </fill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relativeIndent="1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rgb="FF1B8381"/>
        </patternFill>
      </fill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relativeIndent="1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rgb="FF1B8381"/>
        </patternFill>
      </fill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color theme="1"/>
      </font>
      <numFmt numFmtId="8" formatCode="#,##0.00_);[Red]\(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numFmt numFmtId="8" formatCode="#,##0.00_);[Red]\(#,##0.00\)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color theme="1"/>
      </font>
      <alignment horizontal="left" vertical="center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numFmt numFmtId="8" formatCode="#,##0.00_);[Red]\(#,##0.00\)"/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rgb="FF1B8381"/>
        </patternFill>
      </fill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color theme="1"/>
      </font>
      <numFmt numFmtId="8" formatCode="#,##0.00_);[Red]\(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numFmt numFmtId="8" formatCode="#,##0.00_);[Red]\(#,##0.00\)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color theme="1"/>
      </font>
      <alignment horizontal="left" vertical="center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numFmt numFmtId="8" formatCode="#,##0.00_);[Red]\(#,##0.00\)"/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rgb="FF1B8381"/>
        </patternFill>
      </fill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color theme="1"/>
      </font>
      <numFmt numFmtId="8" formatCode="#,##0.00_);[Red]\(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numFmt numFmtId="8" formatCode="#,##0.00_);[Red]\(#,##0.00\)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color theme="1"/>
      </font>
      <alignment horizontal="left" vertical="center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numFmt numFmtId="8" formatCode="#,##0.00_);[Red]\(#,##0.00\)"/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rgb="FF1B8381"/>
        </patternFill>
      </fill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font>
        <color theme="1"/>
      </font>
      <numFmt numFmtId="8" formatCode="#,##0.00_);[Red]\(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color theme="1"/>
      </font>
      <alignment horizontal="left" vertical="center" textRotation="0" wrapText="0" relativeIndent="1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rgb="FF1B8381"/>
        </patternFill>
      </fill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font>
        <color theme="1"/>
      </font>
      <numFmt numFmtId="8" formatCode="#,##0.00_);[Red]\(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color theme="1"/>
      </font>
      <alignment horizontal="left" vertical="center" textRotation="0" wrapText="0" relativeIndent="1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rgb="FF1B8381"/>
        </patternFill>
      </fill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relativeIndent="1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rgb="FF1B8381"/>
        </patternFill>
      </fill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font>
        <color theme="1"/>
      </font>
      <numFmt numFmtId="8" formatCode="#,##0.00_);[Red]\(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color theme="1"/>
      </font>
      <numFmt numFmtId="169" formatCode="#,##0.0_);[Red]\(#,##0.0\)"/>
      <alignment horizontal="left" vertical="center" textRotation="0" wrapText="0" relativeIndent="1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</dxf>
    <dxf>
      <alignment vertical="center" textRotation="0" indent="0" justifyLastLine="0" shrinkToFit="0" readingOrder="0"/>
    </dxf>
    <dxf>
      <fill>
        <patternFill patternType="solid">
          <fgColor indexed="64"/>
          <bgColor rgb="FF1B8381"/>
        </patternFill>
      </fill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relativeIndent="1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rgb="FF1B8381"/>
        </patternFill>
      </fill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border diagonalUp="0" diagonalDown="0" outline="0">
        <left/>
        <right/>
        <top/>
        <bottom/>
      </border>
    </dxf>
    <dxf>
      <numFmt numFmtId="8" formatCode="#,##0.00_);[Red]\(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color theme="1"/>
      </font>
      <alignment horizontal="left" vertical="center" textRotation="0" wrapText="0" relativeIndent="1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rgb="FF1B8381"/>
        </patternFill>
      </fill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</dxf>
    <dxf>
      <fill>
        <patternFill patternType="solid">
          <fgColor indexed="64"/>
          <bgColor theme="9" tint="0.79998168889431442"/>
        </patternFill>
      </fill>
    </dxf>
    <dxf>
      <fill>
        <patternFill patternType="none">
          <fgColor indexed="64"/>
          <bgColor auto="1"/>
        </patternFill>
      </fill>
    </dxf>
    <dxf>
      <font>
        <color rgb="FFDA0000"/>
      </font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>
        <top style="double">
          <color theme="3" tint="9.9948118533890809E-2"/>
        </top>
      </border>
    </dxf>
    <dxf>
      <font>
        <b val="0"/>
        <i val="0"/>
        <color theme="4" tint="-0.2499465926084170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  <dxf>
      <fill>
        <patternFill>
          <bgColor theme="0" tint="-0.14996795556505021"/>
        </patternFill>
      </fill>
    </dxf>
    <dxf>
      <font>
        <b/>
        <i val="0"/>
      </font>
      <fill>
        <patternFill patternType="solid">
          <bgColor theme="0" tint="-4.9989318521683403E-2"/>
        </patternFill>
      </fill>
    </dxf>
    <dxf>
      <font>
        <b val="0"/>
        <i val="0"/>
        <color theme="1"/>
      </font>
      <fill>
        <patternFill patternType="solid">
          <fgColor theme="4"/>
          <bgColor theme="0" tint="-0.14996795556505021"/>
        </patternFill>
      </fill>
      <border>
        <top style="thin">
          <color theme="0"/>
        </top>
      </border>
    </dxf>
    <dxf>
      <font>
        <b val="0"/>
        <i val="0"/>
        <color theme="0"/>
      </font>
      <fill>
        <gradientFill degree="90">
          <stop position="0">
            <color theme="6" tint="-0.49803155613879818"/>
          </stop>
          <stop position="1">
            <color theme="6" tint="-0.25098422193060094"/>
          </stop>
        </gradient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/>
      </font>
      <fill>
        <patternFill patternType="solid">
          <fgColor auto="1"/>
          <bgColor theme="0" tint="-4.9989318521683403E-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2" defaultTableStyle="Monthly Budget" defaultPivotStyle="PivotStyleLight16">
    <tableStyle name="Monthly Budget" pivot="0" count="5" xr9:uid="{00000000-0011-0000-FFFF-FFFF00000000}">
      <tableStyleElement type="wholeTable" dxfId="198"/>
      <tableStyleElement type="headerRow" dxfId="197"/>
      <tableStyleElement type="totalRow" dxfId="196"/>
      <tableStyleElement type="lastColumn" dxfId="195"/>
      <tableStyleElement type="secondRowStripe" dxfId="194"/>
    </tableStyle>
    <tableStyle name="Personal budget table" pivot="0" count="3" xr9:uid="{9CE77D1B-BABE-4770-82A6-F3E5D0644789}">
      <tableStyleElement type="wholeTable" dxfId="193"/>
      <tableStyleElement type="headerRow" dxfId="192"/>
      <tableStyleElement type="totalRow" dxfId="191"/>
    </tableStyle>
  </tableStyles>
  <colors>
    <mruColors>
      <color rgb="FFA3A18F"/>
      <color rgb="FF8F96A3"/>
      <color rgb="FF2F3237"/>
      <color rgb="FF1B8381"/>
      <color rgb="FFEEEADE"/>
      <color rgb="FF44382C"/>
      <color rgb="FFFFFDF8"/>
      <color rgb="FFA7937B"/>
      <color rgb="FFF2F2F2"/>
      <color rgb="FF5A50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 Totals [Breakdown]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Summary'!$B$7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'Budget Summary'!$C$6:$F$6</c15:sqref>
                  </c15:fullRef>
                </c:ext>
              </c:extLst>
              <c:f>'Budget Summary'!$C$6:$D$6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Summary'!$C$7:$F$7</c15:sqref>
                  </c15:fullRef>
                </c:ext>
              </c:extLst>
              <c:f>'Budget Summary'!$C$7:$D$7</c:f>
              <c:numCache>
                <c:formatCode>_("$"* #,##0.00_);_("$"* \(#,##0.00\);_("$"* "-"??_);_(@_)</c:formatCode>
                <c:ptCount val="2"/>
                <c:pt idx="0">
                  <c:v>4300</c:v>
                </c:pt>
                <c:pt idx="1">
                  <c:v>5950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5-4677-A832-ABF3F3B985A8}"/>
            </c:ext>
          </c:extLst>
        </c:ser>
        <c:ser>
          <c:idx val="1"/>
          <c:order val="1"/>
          <c:tx>
            <c:strRef>
              <c:f>'Budget Summary'!$B$8</c:f>
              <c:strCache>
                <c:ptCount val="1"/>
                <c:pt idx="0">
                  <c:v>Total Expenses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'Budget Summary'!$C$6:$F$6</c15:sqref>
                  </c15:fullRef>
                </c:ext>
              </c:extLst>
              <c:f>'Budget Summary'!$C$6:$D$6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Summary'!$C$8:$F$8</c15:sqref>
                  </c15:fullRef>
                </c:ext>
              </c:extLst>
              <c:f>'Budget Summary'!$C$8:$D$8</c:f>
              <c:numCache>
                <c:formatCode>_("$"* #,##0.00_);_("$"* \(#,##0.00\);_("$"* "-"??_);_(@_)</c:formatCode>
                <c:ptCount val="2"/>
                <c:pt idx="0">
                  <c:v>1150</c:v>
                </c:pt>
                <c:pt idx="1">
                  <c:v>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5-4677-A832-ABF3F3B985A8}"/>
            </c:ext>
          </c:extLst>
        </c:ser>
        <c:ser>
          <c:idx val="2"/>
          <c:order val="2"/>
          <c:tx>
            <c:strRef>
              <c:f>'Budget Summary'!$B$9</c:f>
              <c:strCache>
                <c:ptCount val="1"/>
                <c:pt idx="0">
                  <c:v>Balance (Income - Expenses)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'Budget Summary'!$C$6:$F$6</c15:sqref>
                  </c15:fullRef>
                </c:ext>
              </c:extLst>
              <c:f>'Budget Summary'!$C$6:$D$6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Summary'!$C$9:$F$9</c15:sqref>
                  </c15:fullRef>
                </c:ext>
              </c:extLst>
              <c:f>'Budget Summary'!$C$9:$D$9</c:f>
              <c:numCache>
                <c:formatCode>_("$"* #,##0.00_);_("$"* \(#,##0.00\);_("$"* "-"??_);_(@_)</c:formatCode>
                <c:ptCount val="2"/>
                <c:pt idx="0">
                  <c:v>3150</c:v>
                </c:pt>
                <c:pt idx="1">
                  <c:v>4860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F-48CC-8B54-46C0B0E47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69344736"/>
        <c:axId val="969341408"/>
      </c:barChart>
      <c:catAx>
        <c:axId val="96934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341408"/>
        <c:crosses val="autoZero"/>
        <c:auto val="1"/>
        <c:lblAlgn val="ctr"/>
        <c:lblOffset val="100"/>
        <c:noMultiLvlLbl val="0"/>
      </c:catAx>
      <c:valAx>
        <c:axId val="96934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19050">
            <a:solidFill>
              <a:schemeClr val="accent1">
                <a:alpha val="98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34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 Breakdown by Budget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'Budget Summary'!$C$14</c:f>
              <c:strCache>
                <c:ptCount val="1"/>
                <c:pt idx="0">
                  <c:v>ESTIMATED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'Budget Summary'!$B$15:$B$22</c:f>
              <c:strCache>
                <c:ptCount val="8"/>
                <c:pt idx="0">
                  <c:v>Total Home</c:v>
                </c:pt>
                <c:pt idx="1">
                  <c:v>Total Bills &amp; Utilities</c:v>
                </c:pt>
                <c:pt idx="2">
                  <c:v>Total Kids</c:v>
                </c:pt>
                <c:pt idx="3">
                  <c:v>Total Auto &amp; Transport</c:v>
                </c:pt>
                <c:pt idx="4">
                  <c:v>Total Personal Care</c:v>
                </c:pt>
                <c:pt idx="5">
                  <c:v>Total Food &amp; Dining</c:v>
                </c:pt>
                <c:pt idx="6">
                  <c:v>Total Investments</c:v>
                </c:pt>
                <c:pt idx="7">
                  <c:v>Total Entertainment</c:v>
                </c:pt>
              </c:strCache>
            </c:strRef>
          </c:cat>
          <c:val>
            <c:numRef>
              <c:f>'Budget Summary'!$C$15:$C$22</c:f>
              <c:numCache>
                <c:formatCode>_("$"* #,##0.00_);_("$"* \(#,##0.00\);_("$"* "-"??_);_(@_)</c:formatCode>
                <c:ptCount val="8"/>
                <c:pt idx="0">
                  <c:v>650</c:v>
                </c:pt>
                <c:pt idx="1">
                  <c:v>650</c:v>
                </c:pt>
                <c:pt idx="2">
                  <c:v>650</c:v>
                </c:pt>
                <c:pt idx="3">
                  <c:v>1150</c:v>
                </c:pt>
                <c:pt idx="4">
                  <c:v>330</c:v>
                </c:pt>
                <c:pt idx="5">
                  <c:v>900</c:v>
                </c:pt>
                <c:pt idx="6">
                  <c:v>0</c:v>
                </c:pt>
                <c:pt idx="7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A-4093-8163-890F80AEE497}"/>
            </c:ext>
          </c:extLst>
        </c:ser>
        <c:ser>
          <c:idx val="1"/>
          <c:order val="1"/>
          <c:tx>
            <c:strRef>
              <c:f>'Budget Summary'!$D$14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'Budget Summary'!$B$15:$B$22</c:f>
              <c:strCache>
                <c:ptCount val="8"/>
                <c:pt idx="0">
                  <c:v>Total Home</c:v>
                </c:pt>
                <c:pt idx="1">
                  <c:v>Total Bills &amp; Utilities</c:v>
                </c:pt>
                <c:pt idx="2">
                  <c:v>Total Kids</c:v>
                </c:pt>
                <c:pt idx="3">
                  <c:v>Total Auto &amp; Transport</c:v>
                </c:pt>
                <c:pt idx="4">
                  <c:v>Total Personal Care</c:v>
                </c:pt>
                <c:pt idx="5">
                  <c:v>Total Food &amp; Dining</c:v>
                </c:pt>
                <c:pt idx="6">
                  <c:v>Total Investments</c:v>
                </c:pt>
                <c:pt idx="7">
                  <c:v>Total Entertainment</c:v>
                </c:pt>
              </c:strCache>
            </c:strRef>
          </c:cat>
          <c:val>
            <c:numRef>
              <c:f>'Budget Summary'!$D$15:$D$22</c:f>
              <c:numCache>
                <c:formatCode>_("$"* #,##0.00_);_("$"* \(#,##0.00\);_("$"* "-"??_);_(@_)</c:formatCode>
                <c:ptCount val="8"/>
                <c:pt idx="0">
                  <c:v>665</c:v>
                </c:pt>
                <c:pt idx="1">
                  <c:v>667</c:v>
                </c:pt>
                <c:pt idx="2">
                  <c:v>667</c:v>
                </c:pt>
                <c:pt idx="3">
                  <c:v>1090</c:v>
                </c:pt>
                <c:pt idx="4">
                  <c:v>330</c:v>
                </c:pt>
                <c:pt idx="5">
                  <c:v>950</c:v>
                </c:pt>
                <c:pt idx="6">
                  <c:v>0</c:v>
                </c:pt>
                <c:pt idx="7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A-4093-8163-890F80AEE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19338560"/>
        <c:axId val="1019340224"/>
      </c:barChart>
      <c:catAx>
        <c:axId val="1019338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340224"/>
        <c:crosses val="autoZero"/>
        <c:auto val="1"/>
        <c:lblAlgn val="ctr"/>
        <c:lblOffset val="100"/>
        <c:noMultiLvlLbl val="0"/>
      </c:catAx>
      <c:valAx>
        <c:axId val="101934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33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0</xdr:row>
      <xdr:rowOff>38100</xdr:rowOff>
    </xdr:from>
    <xdr:to>
      <xdr:col>19</xdr:col>
      <xdr:colOff>515471</xdr:colOff>
      <xdr:row>1</xdr:row>
      <xdr:rowOff>569786</xdr:rowOff>
    </xdr:to>
    <xdr:pic>
      <xdr:nvPicPr>
        <xdr:cNvPr id="2" name="Picture 1" descr="Retirement Calculator [Calculate Retirement Savings Progress for Free] -  Mint">
          <a:extLst>
            <a:ext uri="{FF2B5EF4-FFF2-40B4-BE49-F238E27FC236}">
              <a16:creationId xmlns:a16="http://schemas.microsoft.com/office/drawing/2014/main" id="{1A77416E-DB0F-46F6-84B6-2401D2C4D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38100"/>
          <a:ext cx="3753971" cy="931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345141</xdr:colOff>
      <xdr:row>0</xdr:row>
      <xdr:rowOff>38324</xdr:rowOff>
    </xdr:from>
    <xdr:to>
      <xdr:col>19</xdr:col>
      <xdr:colOff>380553</xdr:colOff>
      <xdr:row>1</xdr:row>
      <xdr:rowOff>587155</xdr:rowOff>
    </xdr:to>
    <xdr:pic>
      <xdr:nvPicPr>
        <xdr:cNvPr id="4" name="Picture 3" descr="Retirement Calculator [Calculate Retirement Savings Progress for Free] -  Mint">
          <a:extLst>
            <a:ext uri="{FF2B5EF4-FFF2-40B4-BE49-F238E27FC236}">
              <a16:creationId xmlns:a16="http://schemas.microsoft.com/office/drawing/2014/main" id="{EB3DEF68-11D5-4D9C-B6D2-53D167333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6994" y="38324"/>
          <a:ext cx="3733353" cy="940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18714</xdr:colOff>
      <xdr:row>4</xdr:row>
      <xdr:rowOff>135368</xdr:rowOff>
    </xdr:from>
    <xdr:to>
      <xdr:col>20</xdr:col>
      <xdr:colOff>231962</xdr:colOff>
      <xdr:row>11</xdr:row>
      <xdr:rowOff>156883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1F270E4-E72F-47C2-809C-B47D31DE7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3811</xdr:colOff>
      <xdr:row>0</xdr:row>
      <xdr:rowOff>151167</xdr:rowOff>
    </xdr:from>
    <xdr:to>
      <xdr:col>20</xdr:col>
      <xdr:colOff>282053</xdr:colOff>
      <xdr:row>1</xdr:row>
      <xdr:rowOff>589620</xdr:rowOff>
    </xdr:to>
    <xdr:pic>
      <xdr:nvPicPr>
        <xdr:cNvPr id="5" name="Picture 4" descr="Retirement Calculator [Calculate Retirement Savings Progress for Free] -  Mint">
          <a:extLst>
            <a:ext uri="{FF2B5EF4-FFF2-40B4-BE49-F238E27FC236}">
              <a16:creationId xmlns:a16="http://schemas.microsoft.com/office/drawing/2014/main" id="{6C368837-70F9-46AA-99D8-2F919D9A5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1223" y="151167"/>
          <a:ext cx="3755876" cy="929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12165</xdr:colOff>
      <xdr:row>13</xdr:row>
      <xdr:rowOff>29710</xdr:rowOff>
    </xdr:from>
    <xdr:to>
      <xdr:col>20</xdr:col>
      <xdr:colOff>270349</xdr:colOff>
      <xdr:row>22</xdr:row>
      <xdr:rowOff>353785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23E430-5F95-4FF9-B4A0-B6DA041D5C53}"/>
            </a:ext>
            <a:ext uri="{147F2762-F138-4A5C-976F-8EAC2B608ADB}">
              <a16:predDERef xmlns:a16="http://schemas.microsoft.com/office/drawing/2014/main" pred="{6C368837-70F9-46AA-99D8-2F919D9A5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come" displayName="Income" ref="B5:F14" totalsRowCount="1" headerRowDxfId="189" totalsRowDxfId="188" headerRowCellStyle="Heading 1" dataCellStyle="Normal" totalsRowCellStyle="Normal">
  <autoFilter ref="B5:F13" xr:uid="{00000000-0009-0000-0100-000003000000}"/>
  <tableColumns count="5">
    <tableColumn id="1" xr3:uid="{00000000-0010-0000-0200-000001000000}" name="INCOME" totalsRowLabel="Total Income" totalsRowDxfId="187" dataCellStyle="Input"/>
    <tableColumn id="2" xr3:uid="{00000000-0010-0000-0200-000002000000}" name="ESTIMATED" totalsRowFunction="sum" totalsRowDxfId="186" dataCellStyle="Currency"/>
    <tableColumn id="3" xr3:uid="{00000000-0010-0000-0200-000003000000}" name="ACTUAL" totalsRowFunction="sum" totalsRowDxfId="185" dataCellStyle="Currency"/>
    <tableColumn id="5" xr3:uid="{00000000-0010-0000-0200-000005000000}" name="TOP 5 AMOUNT" totalsRowDxfId="184" dataCellStyle="Currency">
      <calculatedColumnFormula>Income[[#This Row],[ACTUAL]]+(10^-6)*ROW(Income[[#This Row],[ACTUAL]])</calculatedColumnFormula>
    </tableColumn>
    <tableColumn id="4" xr3:uid="{00000000-0010-0000-0200-000004000000}" name="DIFFERENCE" totalsRowFunction="sum" totalsRowDxfId="183" dataCellStyle="Currency">
      <calculatedColumnFormula>Income[[#This Row],[ACTUAL]]-Income[[#This Row],[ESTIMATED]]</calculatedColumnFormula>
    </tableColumn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57E2B7E-6804-411A-81F9-57976A6C4444}" name="Expenses816171820212223" displayName="Expenses816171820212223" ref="B105:F110" totalsRowCount="1" headerRowDxfId="77" totalsRowDxfId="76" dataCellStyle="Normal" totalsRowCellStyle="Normal">
  <autoFilter ref="B105:F109" xr:uid="{257E2B7E-6804-411A-81F9-57976A6C4444}"/>
  <sortState xmlns:xlrd2="http://schemas.microsoft.com/office/spreadsheetml/2017/richdata2" ref="B106:F110">
    <sortCondition ref="B5:B23"/>
  </sortState>
  <tableColumns count="5">
    <tableColumn id="1" xr3:uid="{338F1AA9-E8AD-42C7-8601-364F7E7723B7}" name="EXPENSES" totalsRowFunction="custom" dataDxfId="74" totalsRowDxfId="75" dataCellStyle="Input">
      <totalsRowFormula>CONCATENATE("Total ",B104)</totalsRowFormula>
    </tableColumn>
    <tableColumn id="6" xr3:uid="{93B1F1B6-9F7E-48D0-96B3-22D21B18799C}" name="Category" totalsRowLabel="-" dataDxfId="72" totalsRowDxfId="73" dataCellStyle="Input"/>
    <tableColumn id="2" xr3:uid="{6733688F-8EAC-45D5-88FA-3FFD54704A61}" name="ESTIMATED" totalsRowFunction="sum" dataDxfId="70" totalsRowDxfId="71" dataCellStyle="Currency"/>
    <tableColumn id="3" xr3:uid="{CD97832A-5157-4C6F-A048-149058A00129}" name="ACTUAL" totalsRowFunction="sum" dataDxfId="68" totalsRowDxfId="69" dataCellStyle="Currency"/>
    <tableColumn id="4" xr3:uid="{7427D5F7-C4F7-4D80-B885-E089E7CF7B56}" name="DIFFERENCE" totalsRowFunction="sum" dataDxfId="66" totalsRowDxfId="67" dataCellStyle="Currency">
      <calculatedColumnFormula>Expenses816171820212223[[#This Row],[ESTIMATED]]-Expenses816171820212223[[#This Row],[ACTUAL]]</calculatedColumnFormula>
    </tableColumn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82D687-B76F-4DB3-A682-9DF735C05555}" name="Expenses82" displayName="Expenses82" ref="B26:F33" totalsRowCount="1" headerRowDxfId="65" totalsRowDxfId="64" dataCellStyle="Normal" totalsRowCellStyle="Normal">
  <autoFilter ref="B26:F32" xr:uid="{1682D687-B76F-4DB3-A682-9DF735C05555}"/>
  <sortState xmlns:xlrd2="http://schemas.microsoft.com/office/spreadsheetml/2017/richdata2" ref="B27:F33">
    <sortCondition ref="B5:B27"/>
  </sortState>
  <tableColumns count="5">
    <tableColumn id="1" xr3:uid="{8E17326A-715A-4548-926A-5F6425089003}" name="EXPENSES" totalsRowFunction="custom" dataDxfId="62" totalsRowDxfId="63">
      <totalsRowFormula>CONCATENATE("Total ",B25)</totalsRowFormula>
    </tableColumn>
    <tableColumn id="6" xr3:uid="{F6E3C328-D6EE-415F-8C51-BA6FEC6BBF3B}" name="Category" totalsRowLabel="-" dataDxfId="60" totalsRowDxfId="61"/>
    <tableColumn id="2" xr3:uid="{A65F2D23-5956-4D7F-BB1C-378DFF1AE1E6}" name="ESTIMATED" totalsRowFunction="sum" dataDxfId="58" totalsRowDxfId="59" dataCellStyle="Currency"/>
    <tableColumn id="3" xr3:uid="{356E8812-9CBC-4593-B63B-1682A3E88290}" name="ACTUAL" totalsRowFunction="sum" dataDxfId="56" totalsRowDxfId="57" dataCellStyle="Currency"/>
    <tableColumn id="4" xr3:uid="{8E0C96D8-C05F-48AE-9FDD-507AC2A0963C}" name="DIFFERENCE" totalsRowFunction="sum" dataDxfId="54" totalsRowDxfId="55" dataCellStyle="Currency">
      <calculatedColumnFormula>Expenses82[[#This Row],[ESTIMATED]]-Expenses82[[#This Row],[ACTUAL]]</calculatedColumnFormula>
    </tableColumn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A3BA17D-8532-460D-B876-1171CA9F2069}" name="Expenses87" displayName="Expenses87" ref="B6:F14" totalsRowCount="1" headerRowDxfId="53" totalsRowDxfId="52" dataCellStyle="Normal" totalsRowCellStyle="Normal">
  <autoFilter ref="B6:F13" xr:uid="{2A3BA17D-8532-460D-B876-1171CA9F2069}"/>
  <sortState xmlns:xlrd2="http://schemas.microsoft.com/office/spreadsheetml/2017/richdata2" ref="B7:F14">
    <sortCondition ref="B5:B29"/>
  </sortState>
  <tableColumns count="5">
    <tableColumn id="1" xr3:uid="{59EFBF92-B1DA-4913-8132-3162EF49DD6B}" name="EXPENSES" totalsRowFunction="custom" dataDxfId="50" totalsRowDxfId="51">
      <totalsRowFormula>CONCATENATE("Total ",B5)</totalsRowFormula>
    </tableColumn>
    <tableColumn id="6" xr3:uid="{55B25DC4-DB67-44AC-8E64-36750182060C}" name="Category" totalsRowLabel="-" dataDxfId="48" totalsRowDxfId="49"/>
    <tableColumn id="2" xr3:uid="{BA9D33E8-EE01-4DFA-AB4F-DC02868130F3}" name="ESTIMATED" totalsRowFunction="sum" dataDxfId="46" totalsRowDxfId="47" dataCellStyle="Currency"/>
    <tableColumn id="3" xr3:uid="{9246A262-7B48-4803-BFDA-2D51B67D0625}" name="ACTUAL" totalsRowFunction="sum" dataDxfId="44" totalsRowDxfId="45" dataCellStyle="Currency"/>
    <tableColumn id="4" xr3:uid="{E10DBA04-94B1-42B1-91A7-1CB695B33265}" name="DIFFERENCE" totalsRowFunction="sum" dataDxfId="42" totalsRowDxfId="43" dataCellStyle="Currency">
      <calculatedColumnFormula>Expenses87[[#This Row],[ESTIMATED]]-Expenses87[[#This Row],[ACTUAL]]</calculatedColumnFormula>
    </tableColumn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2EBF2D8-570C-4363-81B6-36C2257D3154}" name="Table5" displayName="Table5" ref="A2:C80" totalsRowShown="0" headerRowDxfId="41" dataDxfId="40">
  <autoFilter ref="A2:C80" xr:uid="{12EBF2D8-570C-4363-81B6-36C2257D3154}"/>
  <tableColumns count="3">
    <tableColumn id="1" xr3:uid="{39C924C7-C8BF-4FEA-81FD-C19D2CC62229}" name="Parent" dataDxfId="39"/>
    <tableColumn id="2" xr3:uid="{B552E78D-22CE-4F70-BEA5-B2F64FDB2C01}" name="Item" dataDxfId="38"/>
    <tableColumn id="3" xr3:uid="{9C42997B-6B78-4AAD-B2E3-F055AD05C1E6}" name="Income / Expense" dataDxfId="37"/>
  </tableColumns>
  <tableStyleInfo name="TableStyleLight1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8AA8B5-B642-44B0-8FF6-B12CE9F901F6}" name="Table2" displayName="Table2" ref="B6:F9" totalsRowCount="1" headerRowDxfId="16" dataDxfId="15" totalsRowDxfId="14" headerRowCellStyle="Heading 1">
  <autoFilter ref="B6:F8" xr:uid="{47B637C1-818B-4BED-881E-062FC4FD7398}"/>
  <tableColumns count="5">
    <tableColumn id="1" xr3:uid="{1F3E0BC5-EBB5-4EC3-A58F-4EC1C5D18EDD}" name="BUDGET TOTALS" totalsRowLabel="Balance (Income - Expenses)" totalsRowDxfId="13" dataCellStyle="Input"/>
    <tableColumn id="2" xr3:uid="{97762248-6052-4C5E-B7CD-C84E3157FFDA}" name="ESTIMATED" totalsRowFunction="custom" totalsRowDxfId="12" dataCellStyle="Currency" totalsRowCellStyle="Currency">
      <totalsRowFormula>C7-C8</totalsRowFormula>
    </tableColumn>
    <tableColumn id="3" xr3:uid="{4B6AA04A-DDC8-43A6-A51B-A82E80AD793F}" name="ACTUAL" totalsRowFunction="custom" totalsRowDxfId="11" dataCellStyle="Currency" totalsRowCellStyle="Currency">
      <totalsRowFormula>D7-D8</totalsRowFormula>
    </tableColumn>
    <tableColumn id="4" xr3:uid="{421FA974-B591-456B-8462-4F763A15D3C5}" name="DIFFERENCE" totalsRowFunction="sum" dataDxfId="9" totalsRowDxfId="10" dataCellStyle="Currency" totalsRowCellStyle="Currency">
      <calculatedColumnFormula>Table2[[#This Row],[ACTUAL]]-Table2[[#This Row],[ESTIMATED]]</calculatedColumnFormula>
    </tableColumn>
    <tableColumn id="5" xr3:uid="{FEC26463-7C51-41D7-BED2-652EA6CA6A14}" name="% DIFFERENCE" totalsRowFunction="custom" dataDxfId="7" totalsRowDxfId="8" dataCellStyle="Percent" totalsRowCellStyle="Percent">
      <calculatedColumnFormula>Table2[[#This Row],[ACTUAL]]/Table2[[#This Row],[ESTIMATED]]-1</calculatedColumnFormula>
      <totalsRowFormula>Table2[[#Totals],[ACTUAL]]/Table2[[#Totals],[ESTIMATED]]-1</totalsRowFormula>
    </tableColumn>
  </tableColumns>
  <tableStyleInfo name="TableStyleLight13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4687831-987E-42B2-BD52-98438D3235E9}" name="Table813" displayName="Table813" ref="B14:F23" totalsRowShown="0" headerRowDxfId="6" tableBorderDxfId="5">
  <autoFilter ref="B14:F23" xr:uid="{48D736D2-409F-4CCC-9229-BC8BBB0F6627}"/>
  <tableColumns count="5">
    <tableColumn id="1" xr3:uid="{5BB30AE3-01B6-45EC-B5D1-77EB9F47AEF6}" name="EXPENSE CATEGORIES" dataDxfId="4"/>
    <tableColumn id="2" xr3:uid="{816B5BF8-0B90-41E0-AC96-F507C0A2220B}" name="ESTIMATED" dataDxfId="3" dataCellStyle="Currency"/>
    <tableColumn id="3" xr3:uid="{02DFC22E-DFD1-46DF-A607-21FE7987E801}" name="ACTUAL" dataDxfId="2" dataCellStyle="Currency"/>
    <tableColumn id="4" xr3:uid="{6FCECB5A-A738-4A0D-A483-10280AB7CA05}" name="DIFFERENCE" dataDxfId="1" dataCellStyle="Currency"/>
    <tableColumn id="5" xr3:uid="{7D98620E-E62D-4363-B129-291A53354158}" name="Status" dataDxfId="0" dataCellStyle="Currency">
      <calculatedColumnFormula>IF(Table813[[#This Row],[DIFFERENCE]]&lt;0,"You are under budget!","You are over budget.")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BABFDC5-202A-4F08-91BC-2E52751C2342}" name="Expenses" displayName="Expenses" ref="B36:F40" totalsRowCount="1" headerRowDxfId="171" totalsRowDxfId="170" dataCellStyle="Normal" totalsRowCellStyle="Normal">
  <autoFilter ref="B36:F39" xr:uid="{BBABFDC5-202A-4F08-91BC-2E52751C2342}"/>
  <sortState xmlns:xlrd2="http://schemas.microsoft.com/office/spreadsheetml/2017/richdata2" ref="B37:F40">
    <sortCondition ref="B40:B52"/>
  </sortState>
  <tableColumns count="5">
    <tableColumn id="1" xr3:uid="{3229A458-DA94-4802-8158-10D74AF64B46}" name="EXPENSES" totalsRowFunction="custom" dataDxfId="168" totalsRowDxfId="169" dataCellStyle="Input">
      <totalsRowFormula>CONCATENATE("Total ",B35)</totalsRowFormula>
    </tableColumn>
    <tableColumn id="6" xr3:uid="{4E106D1A-4146-43AC-8348-BF670F9A52D6}" name="Category" totalsRowLabel="-" dataDxfId="166" totalsRowDxfId="167" dataCellStyle="Input"/>
    <tableColumn id="2" xr3:uid="{E26BA57D-AE01-4FAF-8C2D-BA16C0B8E9D7}" name="ESTIMATED" totalsRowFunction="sum" totalsRowDxfId="165" dataCellStyle="Currency"/>
    <tableColumn id="3" xr3:uid="{11B20681-FCCA-4779-8A03-9FACBC9194A4}" name="ACTUAL" totalsRowFunction="sum" totalsRowDxfId="164" dataCellStyle="Currency"/>
    <tableColumn id="4" xr3:uid="{B9A96C46-FA39-4D13-835A-7DF78FD6B32E}" name="DIFFERENCE" totalsRowFunction="sum" totalsRowDxfId="163" dataCellStyle="Currency">
      <calculatedColumnFormula>Expenses[[#This Row],[ESTIMATED]]-Expenses[[#This Row],[ACTUAL]]</calculatedColumnFormula>
    </tableColumn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A11D61B-7892-4F1B-A8FE-EB81B22B888E}" name="Expenses8" displayName="Expenses8" ref="B17:F23" totalsRowCount="1" headerRowDxfId="162" totalsRowDxfId="161" dataCellStyle="Normal" totalsRowCellStyle="Normal">
  <autoFilter ref="B17:F22" xr:uid="{8A11D61B-7892-4F1B-A8FE-EB81B22B888E}"/>
  <sortState xmlns:xlrd2="http://schemas.microsoft.com/office/spreadsheetml/2017/richdata2" ref="B18:F23">
    <sortCondition ref="B5:B27"/>
  </sortState>
  <tableColumns count="5">
    <tableColumn id="1" xr3:uid="{8E491F9B-228F-4742-9613-8F5AFE886FA7}" name="EXPENSES" totalsRowFunction="custom" dataDxfId="159" totalsRowDxfId="160">
      <totalsRowFormula>CONCATENATE("Total ",B16)</totalsRowFormula>
    </tableColumn>
    <tableColumn id="6" xr3:uid="{778C2C2D-4033-4F8F-8E82-FC1CF7393127}" name="Category" totalsRowLabel="-" dataDxfId="157" totalsRowDxfId="158"/>
    <tableColumn id="2" xr3:uid="{93EE077D-ED73-4270-9858-DC1A7192F712}" name="ESTIMATED" totalsRowFunction="sum" dataDxfId="155" totalsRowDxfId="156" dataCellStyle="Currency"/>
    <tableColumn id="3" xr3:uid="{355C9BEB-9B5A-4F74-B08F-853DBD0FE2CE}" name="ACTUAL" totalsRowFunction="sum" dataDxfId="153" totalsRowDxfId="154" dataCellStyle="Currency"/>
    <tableColumn id="4" xr3:uid="{B0E857FF-4DD3-4628-9E57-8089758BA880}" name="DIFFERENCE" totalsRowFunction="sum" dataDxfId="151" totalsRowDxfId="152" dataCellStyle="Currency">
      <calculatedColumnFormula>Expenses8[[#This Row],[ESTIMATED]]-Expenses8[[#This Row],[ACTUAL]]</calculatedColumnFormula>
    </tableColumn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D141FEA-2F7A-47D0-89FC-42ECF8AB86CC}" name="Expenses81415" displayName="Expenses81415" ref="B69:F72" totalsRowCount="1" headerRowDxfId="150" dataDxfId="149" totalsRowDxfId="148" dataCellStyle="Normal" totalsRowCellStyle="Normal">
  <autoFilter ref="B69:F71" xr:uid="{CD141FEA-2F7A-47D0-89FC-42ECF8AB86CC}"/>
  <sortState xmlns:xlrd2="http://schemas.microsoft.com/office/spreadsheetml/2017/richdata2" ref="B70:F72">
    <sortCondition ref="B63:B67"/>
  </sortState>
  <tableColumns count="5">
    <tableColumn id="1" xr3:uid="{79FCE662-68AB-4C02-B7DD-63CB21F1A941}" name="EXPENSES" totalsRowFunction="custom" dataDxfId="146" totalsRowDxfId="147" dataCellStyle="Input">
      <totalsRowFormula>CONCATENATE("Total ",B68)</totalsRowFormula>
    </tableColumn>
    <tableColumn id="6" xr3:uid="{B446620E-4EFC-4744-BA20-9EF4471A6F69}" name="Category" totalsRowLabel="-" dataDxfId="144" totalsRowDxfId="145" dataCellStyle="Input"/>
    <tableColumn id="2" xr3:uid="{6D374563-5838-4341-AB5E-AD284515FB66}" name="ESTIMATED" totalsRowFunction="sum" dataDxfId="142" totalsRowDxfId="143" dataCellStyle="Currency"/>
    <tableColumn id="3" xr3:uid="{51B82082-8D16-4D25-B67B-631EE5074FAB}" name="ACTUAL" totalsRowFunction="sum" dataDxfId="140" totalsRowDxfId="141" dataCellStyle="Currency"/>
    <tableColumn id="4" xr3:uid="{5DD8BDAC-378A-48BB-8CAA-3FC876EDD8B7}" name="DIFFERENCE" totalsRowFunction="sum" dataDxfId="138" totalsRowDxfId="139" dataCellStyle="Currency">
      <calculatedColumnFormula>Expenses81415[[#This Row],[ESTIMATED]]-Expenses81415[[#This Row],[ACTUAL]]</calculatedColumnFormula>
    </tableColumn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402F8DC-73A3-4AFE-AC6B-032164BEF9CB}" name="Expenses816" displayName="Expenses816" ref="B43:F48" totalsRowCount="1" headerRowDxfId="137" totalsRowDxfId="136" dataCellStyle="Normal" totalsRowCellStyle="Normal">
  <autoFilter ref="B43:F47" xr:uid="{4402F8DC-73A3-4AFE-AC6B-032164BEF9CB}"/>
  <sortState xmlns:xlrd2="http://schemas.microsoft.com/office/spreadsheetml/2017/richdata2" ref="B44:F48">
    <sortCondition ref="B24:B34"/>
  </sortState>
  <tableColumns count="5">
    <tableColumn id="1" xr3:uid="{39279FCA-F864-403A-923C-3C95095B3A93}" name="EXPENSES" totalsRowFunction="custom" dataDxfId="134" totalsRowDxfId="135">
      <totalsRowFormula>CONCATENATE("Total ",B42)</totalsRowFormula>
    </tableColumn>
    <tableColumn id="6" xr3:uid="{2A23ED75-A739-4E94-8776-12BEEDC37187}" name="Category" totalsRowLabel="-" dataDxfId="132" totalsRowDxfId="133"/>
    <tableColumn id="2" xr3:uid="{3832DB6C-6E4B-45B5-B5BD-7662C378D5BF}" name="ESTIMATED" totalsRowFunction="sum" dataDxfId="130" totalsRowDxfId="131" dataCellStyle="Currency"/>
    <tableColumn id="3" xr3:uid="{7762B310-3BC0-4093-918F-6573C61EB6A8}" name="ACTUAL" totalsRowFunction="sum" dataDxfId="128" totalsRowDxfId="129" dataCellStyle="Currency"/>
    <tableColumn id="4" xr3:uid="{410F9000-8120-4C9F-A2FC-35BB86C8F88A}" name="DIFFERENCE" totalsRowFunction="sum" dataDxfId="126" totalsRowDxfId="127" dataCellStyle="Currency">
      <calculatedColumnFormula>Expenses816[[#This Row],[ESTIMATED]]-Expenses816[[#This Row],[ACTUAL]]</calculatedColumnFormula>
    </tableColumn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72242AD-6825-4733-8611-45095E7AB1AC}" name="Expenses8161718" displayName="Expenses8161718" ref="B51:F57" totalsRowCount="1" headerRowDxfId="125" totalsRowDxfId="124" dataCellStyle="Normal" totalsRowCellStyle="Normal">
  <autoFilter ref="B51:F56" xr:uid="{D72242AD-6825-4733-8611-45095E7AB1AC}"/>
  <sortState xmlns:xlrd2="http://schemas.microsoft.com/office/spreadsheetml/2017/richdata2" ref="B52:F57">
    <sortCondition ref="B5:B23"/>
  </sortState>
  <tableColumns count="5">
    <tableColumn id="1" xr3:uid="{C9545615-DA2A-4FBE-A5A9-F28C3D460290}" name="EXPENSES" totalsRowFunction="custom" dataDxfId="122" totalsRowDxfId="123" dataCellStyle="Input">
      <totalsRowFormula>CONCATENATE("Total ",B50)</totalsRowFormula>
    </tableColumn>
    <tableColumn id="6" xr3:uid="{975068C3-E1D7-4098-A109-6025740EE28C}" name="Category" totalsRowLabel="-" dataDxfId="120" totalsRowDxfId="121" dataCellStyle="Input"/>
    <tableColumn id="2" xr3:uid="{AC8B034A-EA2C-497A-B83E-F75BB8251C01}" name="ESTIMATED" totalsRowFunction="sum" dataDxfId="118" totalsRowDxfId="119" dataCellStyle="Currency"/>
    <tableColumn id="3" xr3:uid="{3E2FEC71-CB3C-4051-B4FC-C0F6E1AA8129}" name="ACTUAL" totalsRowFunction="sum" dataDxfId="116" totalsRowDxfId="117" dataCellStyle="Currency"/>
    <tableColumn id="4" xr3:uid="{92FDFB84-21A7-4782-B6F3-B4AC7B4C3DA7}" name="DIFFERENCE" totalsRowFunction="sum" dataDxfId="114" totalsRowDxfId="115" dataCellStyle="Currency">
      <calculatedColumnFormula>Expenses8161718[[#This Row],[ESTIMATED]]-Expenses8161718[[#This Row],[ACTUAL]]</calculatedColumnFormula>
    </tableColumn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AB12F71-65DB-4AC4-AFB0-4FCC2BFDFB84}" name="Expenses816171820" displayName="Expenses816171820" ref="B60:F66" totalsRowCount="1" headerRowDxfId="113" totalsRowDxfId="112" dataCellStyle="Normal" totalsRowCellStyle="Normal">
  <autoFilter ref="B60:F65" xr:uid="{4AB12F71-65DB-4AC4-AFB0-4FCC2BFDFB84}"/>
  <sortState xmlns:xlrd2="http://schemas.microsoft.com/office/spreadsheetml/2017/richdata2" ref="B61:F66">
    <sortCondition ref="B5:B23"/>
  </sortState>
  <tableColumns count="5">
    <tableColumn id="1" xr3:uid="{FC963430-3F3A-4A1B-B9DD-9874257C939E}" name="EXPENSES" totalsRowFunction="custom" dataDxfId="110" totalsRowDxfId="111" dataCellStyle="Input">
      <totalsRowFormula>CONCATENATE("Total ",B59)</totalsRowFormula>
    </tableColumn>
    <tableColumn id="6" xr3:uid="{B8147CA4-0173-4C2A-B5B3-3A50811805CC}" name="Category" totalsRowLabel="-" dataDxfId="108" totalsRowDxfId="109" dataCellStyle="Input"/>
    <tableColumn id="2" xr3:uid="{9E2353EF-921B-407B-A2DC-A501A15EE8DD}" name="ESTIMATED" totalsRowFunction="sum" dataDxfId="106" totalsRowDxfId="107" dataCellStyle="Currency"/>
    <tableColumn id="3" xr3:uid="{2C64FE19-4D35-43AB-A421-6CD33DF7BC81}" name="ACTUAL" totalsRowFunction="sum" dataDxfId="104" totalsRowDxfId="105" dataCellStyle="Currency"/>
    <tableColumn id="4" xr3:uid="{B733CFAA-0DF3-4CD6-A734-D724D098409E}" name="DIFFERENCE" totalsRowFunction="sum" dataDxfId="102" totalsRowDxfId="103" dataCellStyle="Currency">
      <calculatedColumnFormula>Expenses816171820[[#This Row],[ESTIMATED]]-Expenses816171820[[#This Row],[ACTUAL]]</calculatedColumnFormula>
    </tableColumn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61930E5-8606-45B0-B689-0D5576BD773A}" name="Expenses81617182021" displayName="Expenses81617182021" ref="B87:F93" totalsRowCount="1" headerRowDxfId="101" totalsRowDxfId="100" dataCellStyle="Normal" totalsRowCellStyle="Normal">
  <autoFilter ref="B87:F92" xr:uid="{161930E5-8606-45B0-B689-0D5576BD773A}"/>
  <sortState xmlns:xlrd2="http://schemas.microsoft.com/office/spreadsheetml/2017/richdata2" ref="B88:F93">
    <sortCondition ref="B5:B23"/>
  </sortState>
  <tableColumns count="5">
    <tableColumn id="1" xr3:uid="{FEF6A5E3-A880-451D-99D8-24809077E06A}" name="EXPENSES" totalsRowFunction="custom" dataDxfId="98" totalsRowDxfId="99" dataCellStyle="Input">
      <totalsRowFormula>CONCATENATE("Total ",B86)</totalsRowFormula>
    </tableColumn>
    <tableColumn id="6" xr3:uid="{71D6DF70-FC81-451E-ABC3-5DCDF791292B}" name="Category" totalsRowLabel="-" dataDxfId="96" totalsRowDxfId="97" dataCellStyle="Input"/>
    <tableColumn id="2" xr3:uid="{F946434F-5E17-42AE-B426-D30747C7B9FD}" name="ESTIMATED" totalsRowFunction="sum" dataDxfId="94" totalsRowDxfId="95" dataCellStyle="Currency"/>
    <tableColumn id="3" xr3:uid="{EAB5BE48-48F2-4542-8508-2CDFCB1A0DEC}" name="ACTUAL" totalsRowFunction="sum" dataDxfId="92" totalsRowDxfId="93" dataCellStyle="Currency"/>
    <tableColumn id="4" xr3:uid="{246526F5-0691-4487-BF02-3137A1637B95}" name="DIFFERENCE" totalsRowFunction="sum" dataDxfId="90" totalsRowDxfId="91" dataCellStyle="Currency">
      <calculatedColumnFormula>Expenses81617182021[[#This Row],[ESTIMATED]]-Expenses81617182021[[#This Row],[ACTUAL]]</calculatedColumnFormula>
    </tableColumn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F5F9106-2061-4243-BCB4-15526AE035F7}" name="Expenses8161718202122" displayName="Expenses8161718202122" ref="B96:F102" totalsRowCount="1" headerRowDxfId="89" totalsRowDxfId="88" dataCellStyle="Normal" totalsRowCellStyle="Normal">
  <autoFilter ref="B96:F101" xr:uid="{6F5F9106-2061-4243-BCB4-15526AE035F7}"/>
  <sortState xmlns:xlrd2="http://schemas.microsoft.com/office/spreadsheetml/2017/richdata2" ref="B97:F102">
    <sortCondition ref="B5:B23"/>
  </sortState>
  <tableColumns count="5">
    <tableColumn id="1" xr3:uid="{0D5480E2-5F6F-4FB9-BDD6-B9DDF40F5F63}" name="EXPENSES" totalsRowFunction="custom" dataDxfId="86" totalsRowDxfId="87" dataCellStyle="Input">
      <totalsRowFormula>CONCATENATE("Total ",B95)</totalsRowFormula>
    </tableColumn>
    <tableColumn id="6" xr3:uid="{9FF2AB29-EA15-4226-AFB7-62986866FECA}" name="Category" totalsRowLabel="-" dataDxfId="84" totalsRowDxfId="85" dataCellStyle="Input"/>
    <tableColumn id="2" xr3:uid="{7C4BD184-4391-40CE-9881-AE2F43BD9615}" name="ESTIMATED" totalsRowFunction="sum" dataDxfId="82" totalsRowDxfId="83" dataCellStyle="Currency"/>
    <tableColumn id="3" xr3:uid="{F1F7C552-2A94-4C9E-B0D8-553E6528D3D3}" name="ACTUAL" totalsRowFunction="sum" dataDxfId="80" totalsRowDxfId="81" dataCellStyle="Currency"/>
    <tableColumn id="4" xr3:uid="{23650621-EFBF-4C76-840A-480B94D08B2B}" name="DIFFERENCE" totalsRowFunction="sum" dataDxfId="78" totalsRowDxfId="79" dataCellStyle="Currency">
      <calculatedColumnFormula>Expenses8161718202122[[#This Row],[ESTIMATED]]-Expenses8161718202122[[#This Row],[ACTUAL]]</calculatedColumnFormula>
    </tableColumn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.xml><?xml version="1.0" encoding="utf-8"?>
<a:theme xmlns:a="http://schemas.openxmlformats.org/drawingml/2006/main" name="Thatch">
  <a:themeElements>
    <a:clrScheme name="Custom 1">
      <a:dk1>
        <a:sysClr val="windowText" lastClr="000000"/>
      </a:dk1>
      <a:lt1>
        <a:sysClr val="window" lastClr="FFFFFF"/>
      </a:lt1>
      <a:dk2>
        <a:srgbClr val="C2C9D6"/>
      </a:dk2>
      <a:lt2>
        <a:srgbClr val="DBE3E9"/>
      </a:lt2>
      <a:accent1>
        <a:srgbClr val="A3978F"/>
      </a:accent1>
      <a:accent2>
        <a:srgbClr val="1B8381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C2C9D6"/>
      </a:hlink>
      <a:folHlink>
        <a:srgbClr val="C2C9D6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8F96A3"/>
    <pageSetUpPr autoPageBreaks="0" fitToPage="1"/>
  </sheetPr>
  <dimension ref="A1:S133"/>
  <sheetViews>
    <sheetView showGridLines="0" tabSelected="1" zoomScaleNormal="100" workbookViewId="0">
      <selection activeCell="G6" sqref="G6"/>
    </sheetView>
  </sheetViews>
  <sheetFormatPr defaultColWidth="9" defaultRowHeight="30" customHeight="1"/>
  <cols>
    <col min="1" max="1" width="4.125" customWidth="1"/>
    <col min="2" max="2" width="29.125" customWidth="1"/>
    <col min="3" max="3" width="19" customWidth="1"/>
    <col min="4" max="4" width="18.75" customWidth="1"/>
    <col min="5" max="5" width="26" hidden="1" customWidth="1"/>
    <col min="6" max="6" width="19" customWidth="1"/>
    <col min="7" max="8" width="4.125" customWidth="1"/>
  </cols>
  <sheetData>
    <row r="1" spans="1:19" ht="31.5" customHeight="1">
      <c r="B1" s="65" t="s">
        <v>0</v>
      </c>
      <c r="C1" s="65"/>
      <c r="D1" s="65"/>
      <c r="E1" s="12"/>
      <c r="F1" s="13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50.45" customHeight="1">
      <c r="B2" s="66" t="s">
        <v>1</v>
      </c>
      <c r="C2" s="66"/>
      <c r="D2" s="66"/>
      <c r="E2" s="14"/>
      <c r="F2" s="13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27" customHeight="1">
      <c r="B3" s="60" t="s">
        <v>2</v>
      </c>
      <c r="C3" s="64"/>
      <c r="D3" s="17"/>
      <c r="E3" s="17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34.9" customHeight="1">
      <c r="B4" s="17"/>
      <c r="C4" s="17"/>
      <c r="D4" s="17"/>
      <c r="E4" s="1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s="2" customFormat="1" ht="30" customHeight="1">
      <c r="A5" s="7"/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6"/>
      <c r="H5" s="4"/>
      <c r="I5" s="4"/>
      <c r="J5"/>
      <c r="K5"/>
      <c r="L5"/>
      <c r="M5"/>
      <c r="N5"/>
      <c r="O5"/>
      <c r="P5"/>
      <c r="Q5"/>
      <c r="R5"/>
      <c r="S5"/>
    </row>
    <row r="6" spans="1:19" ht="30" customHeight="1">
      <c r="A6" s="5"/>
      <c r="B6" s="21" t="s">
        <v>8</v>
      </c>
      <c r="C6" s="27">
        <v>3800</v>
      </c>
      <c r="D6" s="27">
        <v>4200</v>
      </c>
      <c r="E6" s="27">
        <f>Income[[#This Row],[ACTUAL]]+(10^-6)*ROW(Income[[#This Row],[ACTUAL]])</f>
        <v>4200.0000060000002</v>
      </c>
      <c r="F6" s="27">
        <f>Income[[#This Row],[ACTUAL]]-Income[[#This Row],[ESTIMATED]]</f>
        <v>400</v>
      </c>
      <c r="G6" s="6"/>
      <c r="H6" s="4"/>
      <c r="I6" s="4"/>
    </row>
    <row r="7" spans="1:19" ht="30" customHeight="1">
      <c r="A7" s="5"/>
      <c r="B7" s="21" t="s">
        <v>9</v>
      </c>
      <c r="C7" s="27">
        <v>500</v>
      </c>
      <c r="D7" s="27">
        <v>750</v>
      </c>
      <c r="E7" s="27">
        <f>Income[[#This Row],[ACTUAL]]+(10^-6)*ROW(Income[[#This Row],[ACTUAL]])</f>
        <v>750.00000699999998</v>
      </c>
      <c r="F7" s="27">
        <f>Income[[#This Row],[ACTUAL]]-Income[[#This Row],[ESTIMATED]]</f>
        <v>250</v>
      </c>
      <c r="G7" s="6"/>
      <c r="H7" s="4"/>
      <c r="I7" s="4"/>
    </row>
    <row r="8" spans="1:19" ht="30" customHeight="1">
      <c r="A8" s="5"/>
      <c r="B8" s="21" t="s">
        <v>10</v>
      </c>
      <c r="C8" s="27">
        <v>0</v>
      </c>
      <c r="D8" s="27">
        <v>0</v>
      </c>
      <c r="E8" s="27">
        <f>Income[[#This Row],[ACTUAL]]+(10^-6)*ROW(Income[[#This Row],[ACTUAL]])</f>
        <v>7.9999999999999996E-6</v>
      </c>
      <c r="F8" s="27">
        <f>Income[[#This Row],[ACTUAL]]-Income[[#This Row],[ESTIMATED]]</f>
        <v>0</v>
      </c>
      <c r="G8" s="6"/>
      <c r="H8" s="4"/>
      <c r="I8" s="4"/>
    </row>
    <row r="9" spans="1:19" ht="30" customHeight="1">
      <c r="A9" s="5"/>
      <c r="B9" s="21" t="s">
        <v>11</v>
      </c>
      <c r="C9" s="27">
        <v>0</v>
      </c>
      <c r="D9" s="27">
        <v>1000</v>
      </c>
      <c r="E9" s="27">
        <f>Income[[#This Row],[ACTUAL]]+(10^-6)*ROW(Income[[#This Row],[ACTUAL]])</f>
        <v>1000.000009</v>
      </c>
      <c r="F9" s="27">
        <f>Income[[#This Row],[ACTUAL]]-Income[[#This Row],[ESTIMATED]]</f>
        <v>1000</v>
      </c>
      <c r="G9" s="6"/>
      <c r="H9" s="4"/>
      <c r="I9" s="4"/>
    </row>
    <row r="10" spans="1:19" ht="30" customHeight="1">
      <c r="A10" s="5"/>
      <c r="B10" s="21" t="s">
        <v>12</v>
      </c>
      <c r="C10" s="27">
        <v>0</v>
      </c>
      <c r="D10" s="27">
        <v>0</v>
      </c>
      <c r="E10" s="27">
        <f>Income[[#This Row],[ACTUAL]]+(10^-6)*ROW(Income[[#This Row],[ACTUAL]])</f>
        <v>9.9999999999999991E-6</v>
      </c>
      <c r="F10" s="27">
        <f>Income[[#This Row],[ACTUAL]]-Income[[#This Row],[ESTIMATED]]</f>
        <v>0</v>
      </c>
      <c r="G10" s="6"/>
      <c r="H10" s="4"/>
      <c r="I10" s="4"/>
    </row>
    <row r="11" spans="1:19" ht="30" customHeight="1">
      <c r="A11" s="5"/>
      <c r="B11" s="21" t="s">
        <v>13</v>
      </c>
      <c r="C11" s="27">
        <v>0</v>
      </c>
      <c r="D11" s="27">
        <v>0</v>
      </c>
      <c r="E11" s="27">
        <f>Income[[#This Row],[ACTUAL]]+(10^-6)*ROW(Income[[#This Row],[ACTUAL]])</f>
        <v>1.1E-5</v>
      </c>
      <c r="F11" s="27">
        <f>Income[[#This Row],[ACTUAL]]-Income[[#This Row],[ESTIMATED]]</f>
        <v>0</v>
      </c>
      <c r="G11" s="6"/>
      <c r="H11" s="4"/>
      <c r="I11" s="4"/>
    </row>
    <row r="12" spans="1:19" ht="30" customHeight="1">
      <c r="A12" s="5"/>
      <c r="B12" s="21" t="s">
        <v>14</v>
      </c>
      <c r="C12" s="27">
        <v>0</v>
      </c>
      <c r="D12" s="27">
        <v>0</v>
      </c>
      <c r="E12" s="27">
        <f>Income[[#This Row],[ACTUAL]]+(10^-6)*ROW(Income[[#This Row],[ACTUAL]])</f>
        <v>1.2E-5</v>
      </c>
      <c r="F12" s="27">
        <f>Income[[#This Row],[ACTUAL]]-Income[[#This Row],[ESTIMATED]]</f>
        <v>0</v>
      </c>
      <c r="G12" s="6"/>
      <c r="H12" s="4"/>
      <c r="I12" s="4"/>
    </row>
    <row r="13" spans="1:19" ht="30" customHeight="1">
      <c r="A13" s="5"/>
      <c r="B13" s="21" t="s">
        <v>15</v>
      </c>
      <c r="C13" s="27">
        <v>0</v>
      </c>
      <c r="D13" s="27">
        <v>0</v>
      </c>
      <c r="E13" s="27">
        <f>Income[[#This Row],[ACTUAL]]+(10^-6)*ROW(Income[[#This Row],[ACTUAL]])</f>
        <v>1.2999999999999999E-5</v>
      </c>
      <c r="F13" s="27">
        <f>Income[[#This Row],[ACTUAL]]-Income[[#This Row],[ESTIMATED]]</f>
        <v>0</v>
      </c>
      <c r="G13" s="8"/>
      <c r="H13" s="4"/>
      <c r="I13" s="4"/>
    </row>
    <row r="14" spans="1:19" ht="30" customHeight="1">
      <c r="A14" s="5"/>
      <c r="B14" s="24" t="s">
        <v>16</v>
      </c>
      <c r="C14" s="31">
        <f>SUBTOTAL(109,Income[ESTIMATED])</f>
        <v>4300</v>
      </c>
      <c r="D14" s="31">
        <f>SUBTOTAL(109,Income[ACTUAL])</f>
        <v>5950</v>
      </c>
      <c r="E14" s="31"/>
      <c r="F14" s="31">
        <f>SUBTOTAL(109,Income[DIFFERENCE])</f>
        <v>1650</v>
      </c>
      <c r="G14" s="5"/>
      <c r="H14" s="4"/>
      <c r="I14" s="4"/>
    </row>
    <row r="15" spans="1:19" ht="30" customHeight="1">
      <c r="H15" s="9"/>
      <c r="I15" s="9"/>
    </row>
    <row r="16" spans="1:19" ht="30" customHeight="1">
      <c r="H16" s="9"/>
      <c r="I16" s="9"/>
    </row>
    <row r="17" spans="8:9" ht="30" customHeight="1">
      <c r="H17" s="9"/>
      <c r="I17" s="9"/>
    </row>
    <row r="18" spans="8:9" ht="30" customHeight="1">
      <c r="H18" s="9"/>
      <c r="I18" s="9"/>
    </row>
    <row r="19" spans="8:9" ht="30" customHeight="1">
      <c r="H19" s="9"/>
      <c r="I19" s="9"/>
    </row>
    <row r="20" spans="8:9" ht="30" customHeight="1">
      <c r="H20" s="9"/>
      <c r="I20" s="9"/>
    </row>
    <row r="21" spans="8:9" ht="30" customHeight="1">
      <c r="H21" s="9"/>
      <c r="I21" s="9"/>
    </row>
    <row r="22" spans="8:9" ht="30" customHeight="1">
      <c r="H22" s="9"/>
      <c r="I22" s="9"/>
    </row>
    <row r="23" spans="8:9" ht="30" customHeight="1">
      <c r="H23" s="9"/>
      <c r="I23" s="9"/>
    </row>
    <row r="24" spans="8:9" ht="30" customHeight="1">
      <c r="H24" s="9"/>
      <c r="I24" s="9"/>
    </row>
    <row r="25" spans="8:9" ht="30" customHeight="1">
      <c r="H25" s="9"/>
      <c r="I25" s="9"/>
    </row>
    <row r="26" spans="8:9" ht="30" customHeight="1">
      <c r="H26" s="9"/>
      <c r="I26" s="9"/>
    </row>
    <row r="27" spans="8:9" ht="30" customHeight="1">
      <c r="H27" s="9"/>
      <c r="I27" s="9"/>
    </row>
    <row r="28" spans="8:9" ht="30" customHeight="1">
      <c r="H28" s="9"/>
      <c r="I28" s="9"/>
    </row>
    <row r="29" spans="8:9" ht="30" customHeight="1">
      <c r="H29" s="9"/>
      <c r="I29" s="9"/>
    </row>
    <row r="30" spans="8:9" ht="30" customHeight="1">
      <c r="H30" s="9"/>
      <c r="I30" s="9"/>
    </row>
    <row r="31" spans="8:9" ht="30" customHeight="1">
      <c r="H31" s="9"/>
      <c r="I31" s="9"/>
    </row>
    <row r="32" spans="8:9" ht="30" customHeight="1">
      <c r="H32" s="9"/>
      <c r="I32" s="9"/>
    </row>
    <row r="33" spans="8:9" ht="30" customHeight="1">
      <c r="H33" s="9"/>
      <c r="I33" s="9"/>
    </row>
    <row r="34" spans="8:9" ht="30" customHeight="1">
      <c r="H34" s="9"/>
      <c r="I34" s="9"/>
    </row>
    <row r="35" spans="8:9" ht="30" customHeight="1">
      <c r="H35" s="9"/>
      <c r="I35" s="9"/>
    </row>
    <row r="36" spans="8:9" ht="30" customHeight="1">
      <c r="H36" s="9"/>
      <c r="I36" s="9"/>
    </row>
    <row r="37" spans="8:9" ht="30" customHeight="1">
      <c r="H37" s="9"/>
      <c r="I37" s="9"/>
    </row>
    <row r="38" spans="8:9" ht="30" customHeight="1">
      <c r="H38" s="9"/>
      <c r="I38" s="9"/>
    </row>
    <row r="39" spans="8:9" ht="30" customHeight="1">
      <c r="H39" s="9"/>
      <c r="I39" s="9"/>
    </row>
    <row r="40" spans="8:9" ht="30" customHeight="1">
      <c r="H40" s="9"/>
      <c r="I40" s="9"/>
    </row>
    <row r="41" spans="8:9" ht="30" customHeight="1">
      <c r="H41" s="9"/>
      <c r="I41" s="9"/>
    </row>
    <row r="42" spans="8:9" ht="30" customHeight="1">
      <c r="H42" s="9"/>
      <c r="I42" s="9"/>
    </row>
    <row r="43" spans="8:9" ht="30" customHeight="1">
      <c r="H43" s="9"/>
      <c r="I43" s="9"/>
    </row>
    <row r="44" spans="8:9" ht="30" customHeight="1">
      <c r="H44" s="9"/>
      <c r="I44" s="9"/>
    </row>
    <row r="45" spans="8:9" ht="30" customHeight="1">
      <c r="H45" s="9"/>
      <c r="I45" s="9"/>
    </row>
    <row r="46" spans="8:9" ht="30" customHeight="1">
      <c r="H46" s="9"/>
      <c r="I46" s="9"/>
    </row>
    <row r="47" spans="8:9" ht="30" customHeight="1">
      <c r="H47" s="9"/>
      <c r="I47" s="9"/>
    </row>
    <row r="48" spans="8:9" ht="30" customHeight="1">
      <c r="H48" s="9"/>
      <c r="I48" s="9"/>
    </row>
    <row r="49" spans="8:9" ht="30" customHeight="1">
      <c r="H49" s="9"/>
      <c r="I49" s="9"/>
    </row>
    <row r="50" spans="8:9" ht="30" customHeight="1">
      <c r="H50" s="9"/>
      <c r="I50" s="9"/>
    </row>
    <row r="51" spans="8:9" ht="30" customHeight="1">
      <c r="H51" s="9"/>
      <c r="I51" s="9"/>
    </row>
    <row r="52" spans="8:9" ht="30" customHeight="1">
      <c r="H52" s="9"/>
      <c r="I52" s="9"/>
    </row>
    <row r="53" spans="8:9" ht="30" customHeight="1">
      <c r="H53" s="9"/>
      <c r="I53" s="9"/>
    </row>
    <row r="54" spans="8:9" ht="30" customHeight="1">
      <c r="H54" s="9"/>
      <c r="I54" s="9"/>
    </row>
    <row r="55" spans="8:9" ht="30" customHeight="1">
      <c r="H55" s="9"/>
      <c r="I55" s="9"/>
    </row>
    <row r="56" spans="8:9" ht="30" customHeight="1">
      <c r="H56" s="9"/>
      <c r="I56" s="9"/>
    </row>
    <row r="57" spans="8:9" ht="30" customHeight="1">
      <c r="H57" s="9"/>
      <c r="I57" s="9"/>
    </row>
    <row r="58" spans="8:9" ht="30" customHeight="1">
      <c r="H58" s="9"/>
      <c r="I58" s="9"/>
    </row>
    <row r="59" spans="8:9" ht="30" customHeight="1">
      <c r="H59" s="9"/>
      <c r="I59" s="9"/>
    </row>
    <row r="60" spans="8:9" ht="30" customHeight="1">
      <c r="H60" s="9"/>
      <c r="I60" s="9"/>
    </row>
    <row r="61" spans="8:9" ht="30" customHeight="1">
      <c r="H61" s="9"/>
      <c r="I61" s="9"/>
    </row>
    <row r="62" spans="8:9" ht="30" customHeight="1">
      <c r="H62" s="9"/>
      <c r="I62" s="9"/>
    </row>
    <row r="63" spans="8:9" ht="30" customHeight="1">
      <c r="H63" s="9"/>
      <c r="I63" s="9"/>
    </row>
    <row r="64" spans="8:9" ht="30" customHeight="1">
      <c r="H64" s="9"/>
      <c r="I64" s="9"/>
    </row>
    <row r="65" spans="8:9" ht="30" customHeight="1">
      <c r="H65" s="9"/>
      <c r="I65" s="9"/>
    </row>
    <row r="66" spans="8:9" ht="30" customHeight="1">
      <c r="H66" s="9"/>
      <c r="I66" s="9"/>
    </row>
    <row r="67" spans="8:9" ht="30" customHeight="1">
      <c r="H67" s="9"/>
      <c r="I67" s="9"/>
    </row>
    <row r="68" spans="8:9" ht="30" customHeight="1">
      <c r="H68" s="9"/>
      <c r="I68" s="9"/>
    </row>
    <row r="69" spans="8:9" ht="30" customHeight="1">
      <c r="H69" s="9"/>
      <c r="I69" s="9"/>
    </row>
    <row r="70" spans="8:9" ht="30" customHeight="1">
      <c r="H70" s="9"/>
      <c r="I70" s="9"/>
    </row>
    <row r="71" spans="8:9" ht="30" customHeight="1">
      <c r="H71" s="9"/>
      <c r="I71" s="9"/>
    </row>
    <row r="72" spans="8:9" ht="30" customHeight="1">
      <c r="H72" s="9"/>
      <c r="I72" s="9"/>
    </row>
    <row r="73" spans="8:9" ht="30" customHeight="1">
      <c r="H73" s="9"/>
      <c r="I73" s="9"/>
    </row>
    <row r="74" spans="8:9" ht="30" customHeight="1">
      <c r="H74" s="9"/>
      <c r="I74" s="9"/>
    </row>
    <row r="75" spans="8:9" ht="30" customHeight="1">
      <c r="H75" s="9"/>
      <c r="I75" s="9"/>
    </row>
    <row r="76" spans="8:9" ht="30" customHeight="1">
      <c r="H76" s="9"/>
      <c r="I76" s="9"/>
    </row>
    <row r="77" spans="8:9" ht="30" customHeight="1">
      <c r="H77" s="9"/>
      <c r="I77" s="9"/>
    </row>
    <row r="78" spans="8:9" ht="30" customHeight="1">
      <c r="H78" s="9"/>
      <c r="I78" s="9"/>
    </row>
    <row r="79" spans="8:9" ht="30" customHeight="1">
      <c r="H79" s="9"/>
      <c r="I79" s="9"/>
    </row>
    <row r="80" spans="8:9" ht="30" customHeight="1">
      <c r="H80" s="9"/>
      <c r="I80" s="9"/>
    </row>
    <row r="81" spans="8:9" ht="30" customHeight="1">
      <c r="H81" s="9"/>
      <c r="I81" s="9"/>
    </row>
    <row r="82" spans="8:9" ht="30" customHeight="1">
      <c r="H82" s="9"/>
      <c r="I82" s="9"/>
    </row>
    <row r="83" spans="8:9" ht="30" customHeight="1">
      <c r="H83" s="9"/>
      <c r="I83" s="9"/>
    </row>
    <row r="84" spans="8:9" ht="30" customHeight="1">
      <c r="H84" s="9"/>
      <c r="I84" s="9"/>
    </row>
    <row r="85" spans="8:9" ht="30" customHeight="1">
      <c r="H85" s="9"/>
      <c r="I85" s="9"/>
    </row>
    <row r="86" spans="8:9" ht="30" customHeight="1">
      <c r="H86" s="9"/>
      <c r="I86" s="9"/>
    </row>
    <row r="87" spans="8:9" ht="30" customHeight="1">
      <c r="H87" s="9"/>
      <c r="I87" s="9"/>
    </row>
    <row r="88" spans="8:9" ht="30" customHeight="1">
      <c r="H88" s="9"/>
      <c r="I88" s="9"/>
    </row>
    <row r="89" spans="8:9" ht="30" customHeight="1">
      <c r="H89" s="9"/>
      <c r="I89" s="9"/>
    </row>
    <row r="90" spans="8:9" ht="30" customHeight="1">
      <c r="H90" s="9"/>
      <c r="I90" s="9"/>
    </row>
    <row r="91" spans="8:9" ht="30" customHeight="1">
      <c r="H91" s="9"/>
      <c r="I91" s="9"/>
    </row>
    <row r="92" spans="8:9" ht="30" customHeight="1">
      <c r="H92" s="9"/>
      <c r="I92" s="9"/>
    </row>
    <row r="93" spans="8:9" ht="30" customHeight="1">
      <c r="H93" s="9"/>
      <c r="I93" s="9"/>
    </row>
    <row r="94" spans="8:9" ht="30" customHeight="1">
      <c r="H94" s="9"/>
      <c r="I94" s="9"/>
    </row>
    <row r="95" spans="8:9" ht="30" customHeight="1">
      <c r="H95" s="9"/>
      <c r="I95" s="9"/>
    </row>
    <row r="96" spans="8:9" ht="30" customHeight="1">
      <c r="H96" s="9"/>
      <c r="I96" s="9"/>
    </row>
    <row r="97" spans="8:9" ht="30" customHeight="1">
      <c r="H97" s="9"/>
      <c r="I97" s="9"/>
    </row>
    <row r="98" spans="8:9" ht="30" customHeight="1">
      <c r="H98" s="9"/>
      <c r="I98" s="9"/>
    </row>
    <row r="99" spans="8:9" ht="30" customHeight="1">
      <c r="H99" s="9"/>
      <c r="I99" s="9"/>
    </row>
    <row r="100" spans="8:9" ht="30" customHeight="1">
      <c r="H100" s="9"/>
      <c r="I100" s="9"/>
    </row>
    <row r="101" spans="8:9" ht="30" customHeight="1">
      <c r="H101" s="9"/>
      <c r="I101" s="9"/>
    </row>
    <row r="102" spans="8:9" ht="30" customHeight="1">
      <c r="H102" s="9"/>
      <c r="I102" s="9"/>
    </row>
    <row r="103" spans="8:9" ht="30" customHeight="1">
      <c r="H103" s="9"/>
      <c r="I103" s="9"/>
    </row>
    <row r="104" spans="8:9" ht="30" customHeight="1">
      <c r="H104" s="9"/>
      <c r="I104" s="9"/>
    </row>
    <row r="105" spans="8:9" ht="30" customHeight="1">
      <c r="H105" s="9"/>
      <c r="I105" s="9"/>
    </row>
    <row r="106" spans="8:9" ht="30" customHeight="1">
      <c r="H106" s="9"/>
      <c r="I106" s="9"/>
    </row>
    <row r="107" spans="8:9" ht="30" customHeight="1">
      <c r="H107" s="9"/>
      <c r="I107" s="9"/>
    </row>
    <row r="108" spans="8:9" ht="30" customHeight="1">
      <c r="H108" s="9"/>
      <c r="I108" s="9"/>
    </row>
    <row r="109" spans="8:9" ht="30" customHeight="1">
      <c r="H109" s="9"/>
      <c r="I109" s="9"/>
    </row>
    <row r="110" spans="8:9" ht="30" customHeight="1">
      <c r="H110" s="9"/>
      <c r="I110" s="9"/>
    </row>
    <row r="111" spans="8:9" ht="30" customHeight="1">
      <c r="H111" s="9"/>
      <c r="I111" s="9"/>
    </row>
    <row r="112" spans="8:9" ht="30" customHeight="1">
      <c r="H112" s="9"/>
      <c r="I112" s="9"/>
    </row>
    <row r="113" spans="8:9" ht="30" customHeight="1">
      <c r="H113" s="9"/>
      <c r="I113" s="9"/>
    </row>
    <row r="114" spans="8:9" ht="30" customHeight="1">
      <c r="H114" s="9"/>
      <c r="I114" s="9"/>
    </row>
    <row r="115" spans="8:9" ht="30" customHeight="1">
      <c r="H115" s="9"/>
      <c r="I115" s="9"/>
    </row>
    <row r="116" spans="8:9" ht="30" customHeight="1">
      <c r="H116" s="9"/>
      <c r="I116" s="9"/>
    </row>
    <row r="117" spans="8:9" ht="30" customHeight="1">
      <c r="H117" s="9"/>
      <c r="I117" s="9"/>
    </row>
    <row r="118" spans="8:9" ht="30" customHeight="1">
      <c r="H118" s="9"/>
      <c r="I118" s="9"/>
    </row>
    <row r="119" spans="8:9" ht="30" customHeight="1">
      <c r="H119" s="9"/>
      <c r="I119" s="9"/>
    </row>
    <row r="120" spans="8:9" ht="30" customHeight="1">
      <c r="H120" s="9"/>
      <c r="I120" s="9"/>
    </row>
    <row r="121" spans="8:9" ht="30" customHeight="1">
      <c r="H121" s="9"/>
      <c r="I121" s="9"/>
    </row>
    <row r="122" spans="8:9" ht="30" customHeight="1">
      <c r="H122" s="9"/>
      <c r="I122" s="9"/>
    </row>
    <row r="123" spans="8:9" ht="30" customHeight="1">
      <c r="H123" s="9"/>
      <c r="I123" s="9"/>
    </row>
    <row r="124" spans="8:9" ht="30" customHeight="1">
      <c r="H124" s="9"/>
      <c r="I124" s="9"/>
    </row>
    <row r="125" spans="8:9" ht="30" customHeight="1">
      <c r="H125" s="9"/>
      <c r="I125" s="9"/>
    </row>
    <row r="126" spans="8:9" ht="30" customHeight="1">
      <c r="H126" s="9"/>
      <c r="I126" s="9"/>
    </row>
    <row r="127" spans="8:9" ht="30" customHeight="1">
      <c r="H127" s="9"/>
      <c r="I127" s="9"/>
    </row>
    <row r="128" spans="8:9" ht="30" customHeight="1">
      <c r="H128" s="9"/>
      <c r="I128" s="9"/>
    </row>
    <row r="129" spans="8:9" ht="30" customHeight="1">
      <c r="H129" s="9"/>
      <c r="I129" s="9"/>
    </row>
    <row r="130" spans="8:9" ht="30" customHeight="1">
      <c r="H130" s="9"/>
      <c r="I130" s="9"/>
    </row>
    <row r="131" spans="8:9" ht="30" customHeight="1">
      <c r="H131" s="9"/>
      <c r="I131" s="9"/>
    </row>
    <row r="132" spans="8:9" ht="30" customHeight="1">
      <c r="H132" s="9"/>
      <c r="I132" s="9"/>
    </row>
    <row r="133" spans="8:9" ht="30" customHeight="1">
      <c r="H133" s="9"/>
      <c r="I133" s="9"/>
    </row>
  </sheetData>
  <sheetProtection insertColumns="0" insertRows="0" deleteColumns="0" deleteRows="0" selectLockedCells="1" autoFilter="0"/>
  <dataConsolidate/>
  <mergeCells count="3">
    <mergeCell ref="B1:D1"/>
    <mergeCell ref="B2:D2"/>
    <mergeCell ref="G1:S2"/>
  </mergeCells>
  <conditionalFormatting sqref="F14">
    <cfRule type="cellIs" dxfId="190" priority="3" operator="lessThan">
      <formula>0</formula>
    </cfRule>
  </conditionalFormatting>
  <dataValidations count="2">
    <dataValidation type="custom" allowBlank="1" showInputMessage="1" showErrorMessage="1" errorTitle="ALERT" error="This cell is automatically populated and should not be overwitten. Overwriting this cell would break calculations in this worksheet." sqref="G5:G12" xr:uid="{00000000-0002-0000-0100-000000000000}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6:F13" xr:uid="{00000000-0002-0000-0100-000001000000}"/>
  </dataValidations>
  <printOptions horizontalCentered="1"/>
  <pageMargins left="0.25" right="0.25" top="0.25" bottom="0.25" header="0" footer="0"/>
  <pageSetup scale="97" fitToHeight="0" orientation="portrait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E9C3-16AA-4C4A-96B3-05E1973A8501}">
  <sheetPr codeName="Sheet6">
    <tabColor rgb="FFA3A18F"/>
  </sheetPr>
  <dimension ref="A1:S110"/>
  <sheetViews>
    <sheetView showGridLines="0" zoomScale="85" zoomScaleNormal="85" workbookViewId="0">
      <selection activeCell="C3" sqref="C3"/>
    </sheetView>
  </sheetViews>
  <sheetFormatPr defaultColWidth="9" defaultRowHeight="27" customHeight="1"/>
  <cols>
    <col min="1" max="1" width="4.125" customWidth="1"/>
    <col min="2" max="2" width="40.5" style="52" bestFit="1" customWidth="1"/>
    <col min="3" max="6" width="20.75" customWidth="1"/>
    <col min="7" max="8" width="4.125" customWidth="1"/>
  </cols>
  <sheetData>
    <row r="1" spans="1:19" ht="31.5" customHeight="1">
      <c r="B1" s="65" t="s">
        <v>0</v>
      </c>
      <c r="C1" s="65"/>
      <c r="D1" s="65"/>
      <c r="E1" s="65"/>
      <c r="F1" s="13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50.45" customHeight="1">
      <c r="B2" s="66" t="s">
        <v>17</v>
      </c>
      <c r="C2" s="66"/>
      <c r="D2" s="66"/>
      <c r="E2" s="66"/>
      <c r="F2" s="13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25.5" customHeight="1">
      <c r="B3" s="60" t="s">
        <v>18</v>
      </c>
      <c r="C3" s="64"/>
      <c r="D3" s="17"/>
      <c r="E3" s="17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32.25" customHeight="1">
      <c r="B4" s="56"/>
      <c r="C4" s="58"/>
      <c r="D4" s="17"/>
      <c r="E4" s="1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27" customHeight="1">
      <c r="A5" s="5"/>
      <c r="B5" s="49" t="s">
        <v>19</v>
      </c>
      <c r="C5" s="58"/>
      <c r="D5" s="17"/>
      <c r="E5" s="17"/>
      <c r="G5" s="8"/>
    </row>
    <row r="6" spans="1:19" ht="27" customHeight="1">
      <c r="A6" s="5"/>
      <c r="B6" s="50" t="s">
        <v>20</v>
      </c>
      <c r="C6" s="13" t="s">
        <v>21</v>
      </c>
      <c r="D6" s="13" t="s">
        <v>4</v>
      </c>
      <c r="E6" s="13" t="s">
        <v>5</v>
      </c>
      <c r="F6" s="13" t="s">
        <v>7</v>
      </c>
      <c r="G6" s="8"/>
    </row>
    <row r="7" spans="1:19" ht="27" customHeight="1">
      <c r="A7" s="5"/>
      <c r="B7" s="57" t="s">
        <v>22</v>
      </c>
      <c r="C7" s="59" t="s">
        <v>19</v>
      </c>
      <c r="D7" s="36">
        <v>300</v>
      </c>
      <c r="E7" s="36">
        <v>250</v>
      </c>
      <c r="F7" s="36">
        <f>Expenses87[[#This Row],[ESTIMATED]]-Expenses87[[#This Row],[ACTUAL]]</f>
        <v>50</v>
      </c>
      <c r="G7" s="8"/>
    </row>
    <row r="8" spans="1:19" ht="27" customHeight="1">
      <c r="A8" s="5"/>
      <c r="B8" s="57" t="s">
        <v>23</v>
      </c>
      <c r="C8" s="59" t="s">
        <v>19</v>
      </c>
      <c r="D8" s="36">
        <v>0</v>
      </c>
      <c r="E8" s="36">
        <v>0</v>
      </c>
      <c r="F8" s="36">
        <f>Expenses87[[#This Row],[ESTIMATED]]-Expenses87[[#This Row],[ACTUAL]]</f>
        <v>0</v>
      </c>
      <c r="G8" s="8"/>
    </row>
    <row r="9" spans="1:19" ht="27" customHeight="1">
      <c r="A9" s="5"/>
      <c r="B9" s="57" t="s">
        <v>24</v>
      </c>
      <c r="C9" s="59" t="s">
        <v>19</v>
      </c>
      <c r="D9" s="36">
        <v>0</v>
      </c>
      <c r="E9" s="36">
        <v>0</v>
      </c>
      <c r="F9" s="36">
        <f>Expenses87[[#This Row],[ESTIMATED]]-Expenses87[[#This Row],[ACTUAL]]</f>
        <v>0</v>
      </c>
      <c r="G9" s="8"/>
    </row>
    <row r="10" spans="1:19" ht="27" customHeight="1">
      <c r="A10" s="5"/>
      <c r="B10" s="57" t="s">
        <v>25</v>
      </c>
      <c r="C10" s="59" t="s">
        <v>19</v>
      </c>
      <c r="D10" s="36">
        <v>0</v>
      </c>
      <c r="E10" s="36">
        <v>0</v>
      </c>
      <c r="F10" s="36">
        <f>Expenses87[[#This Row],[ESTIMATED]]-Expenses87[[#This Row],[ACTUAL]]</f>
        <v>0</v>
      </c>
      <c r="G10" s="8"/>
    </row>
    <row r="11" spans="1:19" ht="27" customHeight="1">
      <c r="A11" s="5"/>
      <c r="B11" s="57" t="s">
        <v>26</v>
      </c>
      <c r="C11" s="59" t="s">
        <v>19</v>
      </c>
      <c r="D11" s="36">
        <v>0</v>
      </c>
      <c r="E11" s="36">
        <v>0</v>
      </c>
      <c r="F11" s="36">
        <f>Expenses87[[#This Row],[ESTIMATED]]-Expenses87[[#This Row],[ACTUAL]]</f>
        <v>0</v>
      </c>
      <c r="G11" s="8"/>
    </row>
    <row r="12" spans="1:19" ht="27" customHeight="1">
      <c r="A12" s="5"/>
      <c r="B12" s="57" t="s">
        <v>27</v>
      </c>
      <c r="C12" s="59" t="s">
        <v>19</v>
      </c>
      <c r="D12" s="36">
        <v>200</v>
      </c>
      <c r="E12" s="36">
        <v>200</v>
      </c>
      <c r="F12" s="36">
        <f>Expenses87[[#This Row],[ESTIMATED]]-Expenses87[[#This Row],[ACTUAL]]</f>
        <v>0</v>
      </c>
      <c r="G12" s="8"/>
    </row>
    <row r="13" spans="1:19" ht="27" customHeight="1">
      <c r="A13" s="5"/>
      <c r="B13" s="57" t="s">
        <v>28</v>
      </c>
      <c r="C13" s="59" t="s">
        <v>19</v>
      </c>
      <c r="D13" s="36">
        <v>150</v>
      </c>
      <c r="E13" s="36">
        <v>215</v>
      </c>
      <c r="F13" s="36">
        <f>Expenses87[[#This Row],[ESTIMATED]]-Expenses87[[#This Row],[ACTUAL]]</f>
        <v>-65</v>
      </c>
      <c r="G13" s="8"/>
    </row>
    <row r="14" spans="1:19" ht="27" customHeight="1">
      <c r="A14" s="5"/>
      <c r="B14" s="24" t="str">
        <f>CONCATENATE("Total ",B5)</f>
        <v>Total Home</v>
      </c>
      <c r="C14" s="51" t="s">
        <v>29</v>
      </c>
      <c r="D14" s="31">
        <f>SUBTOTAL(109,Expenses87[ESTIMATED])</f>
        <v>650</v>
      </c>
      <c r="E14" s="31">
        <f>SUBTOTAL(109,Expenses87[ACTUAL])</f>
        <v>665</v>
      </c>
      <c r="F14" s="31">
        <f>SUBTOTAL(109,Expenses87[DIFFERENCE])</f>
        <v>-15</v>
      </c>
      <c r="G14" s="8"/>
    </row>
    <row r="16" spans="1:19" ht="27" customHeight="1">
      <c r="B16" s="49" t="s">
        <v>30</v>
      </c>
      <c r="C16" s="58"/>
      <c r="D16" s="17"/>
      <c r="E16" s="17"/>
    </row>
    <row r="17" spans="2:6" ht="27" customHeight="1">
      <c r="B17" s="50" t="s">
        <v>20</v>
      </c>
      <c r="C17" s="13" t="s">
        <v>21</v>
      </c>
      <c r="D17" s="13" t="s">
        <v>4</v>
      </c>
      <c r="E17" s="13" t="s">
        <v>5</v>
      </c>
      <c r="F17" s="13" t="s">
        <v>7</v>
      </c>
    </row>
    <row r="18" spans="2:6" ht="27" customHeight="1">
      <c r="B18" s="57" t="s">
        <v>31</v>
      </c>
      <c r="C18" s="59" t="s">
        <v>30</v>
      </c>
      <c r="D18" s="36">
        <v>300</v>
      </c>
      <c r="E18" s="36">
        <v>250</v>
      </c>
      <c r="F18" s="36">
        <f>Expenses8[[#This Row],[ESTIMATED]]-Expenses8[[#This Row],[ACTUAL]]</f>
        <v>50</v>
      </c>
    </row>
    <row r="19" spans="2:6" ht="27" customHeight="1">
      <c r="B19" s="57" t="s">
        <v>32</v>
      </c>
      <c r="C19" s="59" t="s">
        <v>30</v>
      </c>
      <c r="D19" s="36">
        <v>200</v>
      </c>
      <c r="E19" s="36">
        <v>200</v>
      </c>
      <c r="F19" s="36">
        <f>Expenses8[[#This Row],[ESTIMATED]]-Expenses8[[#This Row],[ACTUAL]]</f>
        <v>0</v>
      </c>
    </row>
    <row r="20" spans="2:6" ht="27" customHeight="1">
      <c r="B20" s="57" t="s">
        <v>33</v>
      </c>
      <c r="C20" s="59" t="s">
        <v>30</v>
      </c>
      <c r="D20" s="36">
        <v>0</v>
      </c>
      <c r="E20" s="36">
        <v>0</v>
      </c>
      <c r="F20" s="36">
        <f>Expenses8[[#This Row],[ESTIMATED]]-Expenses8[[#This Row],[ACTUAL]]</f>
        <v>0</v>
      </c>
    </row>
    <row r="21" spans="2:6" ht="27" customHeight="1">
      <c r="B21" s="57" t="s">
        <v>34</v>
      </c>
      <c r="C21" s="59" t="s">
        <v>30</v>
      </c>
      <c r="D21" s="36">
        <v>0</v>
      </c>
      <c r="E21" s="36">
        <v>0</v>
      </c>
      <c r="F21" s="36">
        <f>Expenses8[[#This Row],[ESTIMATED]]-Expenses8[[#This Row],[ACTUAL]]</f>
        <v>0</v>
      </c>
    </row>
    <row r="22" spans="2:6" ht="27" customHeight="1">
      <c r="B22" s="57" t="s">
        <v>35</v>
      </c>
      <c r="C22" s="59" t="s">
        <v>30</v>
      </c>
      <c r="D22" s="36">
        <v>150</v>
      </c>
      <c r="E22" s="36">
        <v>217</v>
      </c>
      <c r="F22" s="36">
        <f>Expenses8[[#This Row],[ESTIMATED]]-Expenses8[[#This Row],[ACTUAL]]</f>
        <v>-67</v>
      </c>
    </row>
    <row r="23" spans="2:6" ht="27" customHeight="1">
      <c r="B23" s="24" t="str">
        <f>CONCATENATE("Total ",B16)</f>
        <v>Total Bills &amp; Utilities</v>
      </c>
      <c r="C23" s="51" t="s">
        <v>29</v>
      </c>
      <c r="D23" s="31">
        <f>SUBTOTAL(109,Expenses8[ESTIMATED])</f>
        <v>650</v>
      </c>
      <c r="E23" s="31">
        <f>SUBTOTAL(109,Expenses8[ACTUAL])</f>
        <v>667</v>
      </c>
      <c r="F23" s="31">
        <f>SUBTOTAL(109,Expenses8[DIFFERENCE])</f>
        <v>-17</v>
      </c>
    </row>
    <row r="25" spans="2:6" ht="27" customHeight="1">
      <c r="B25" s="49" t="s">
        <v>36</v>
      </c>
      <c r="C25" s="58"/>
      <c r="D25" s="17"/>
      <c r="E25" s="17"/>
    </row>
    <row r="26" spans="2:6" ht="27" customHeight="1">
      <c r="B26" s="50" t="s">
        <v>20</v>
      </c>
      <c r="C26" s="13" t="s">
        <v>21</v>
      </c>
      <c r="D26" s="13" t="s">
        <v>4</v>
      </c>
      <c r="E26" s="13" t="s">
        <v>5</v>
      </c>
      <c r="F26" s="13" t="s">
        <v>7</v>
      </c>
    </row>
    <row r="27" spans="2:6" ht="27" customHeight="1">
      <c r="B27" s="57" t="s">
        <v>37</v>
      </c>
      <c r="C27" s="59" t="s">
        <v>36</v>
      </c>
      <c r="D27" s="36">
        <v>300</v>
      </c>
      <c r="E27" s="36">
        <v>250</v>
      </c>
      <c r="F27" s="36">
        <f>Expenses82[[#This Row],[ESTIMATED]]-Expenses82[[#This Row],[ACTUAL]]</f>
        <v>50</v>
      </c>
    </row>
    <row r="28" spans="2:6" ht="27" customHeight="1">
      <c r="B28" s="57" t="s">
        <v>38</v>
      </c>
      <c r="C28" s="59" t="s">
        <v>36</v>
      </c>
      <c r="D28" s="36">
        <v>200</v>
      </c>
      <c r="E28" s="36">
        <v>200</v>
      </c>
      <c r="F28" s="36">
        <f>Expenses82[[#This Row],[ESTIMATED]]-Expenses82[[#This Row],[ACTUAL]]</f>
        <v>0</v>
      </c>
    </row>
    <row r="29" spans="2:6" ht="27" customHeight="1">
      <c r="B29" s="57" t="s">
        <v>39</v>
      </c>
      <c r="C29" s="59" t="s">
        <v>36</v>
      </c>
      <c r="D29" s="36">
        <v>0</v>
      </c>
      <c r="E29" s="36">
        <v>0</v>
      </c>
      <c r="F29" s="36">
        <f>Expenses82[[#This Row],[ESTIMATED]]-Expenses82[[#This Row],[ACTUAL]]</f>
        <v>0</v>
      </c>
    </row>
    <row r="30" spans="2:6" ht="27" customHeight="1">
      <c r="B30" s="57" t="s">
        <v>40</v>
      </c>
      <c r="C30" s="59" t="s">
        <v>36</v>
      </c>
      <c r="D30" s="36">
        <v>0</v>
      </c>
      <c r="E30" s="36">
        <v>0</v>
      </c>
      <c r="F30" s="36">
        <f>Expenses82[[#This Row],[ESTIMATED]]-Expenses82[[#This Row],[ACTUAL]]</f>
        <v>0</v>
      </c>
    </row>
    <row r="31" spans="2:6" ht="27" customHeight="1">
      <c r="B31" s="57" t="s">
        <v>41</v>
      </c>
      <c r="C31" s="59" t="s">
        <v>36</v>
      </c>
      <c r="D31" s="36">
        <v>0</v>
      </c>
      <c r="E31" s="36">
        <v>0</v>
      </c>
      <c r="F31" s="36">
        <f>Expenses82[[#This Row],[ESTIMATED]]-Expenses82[[#This Row],[ACTUAL]]</f>
        <v>0</v>
      </c>
    </row>
    <row r="32" spans="2:6" ht="27" customHeight="1">
      <c r="B32" s="57" t="s">
        <v>42</v>
      </c>
      <c r="C32" s="59" t="s">
        <v>36</v>
      </c>
      <c r="D32" s="36">
        <v>150</v>
      </c>
      <c r="E32" s="36">
        <v>217</v>
      </c>
      <c r="F32" s="36">
        <f>Expenses82[[#This Row],[ESTIMATED]]-Expenses82[[#This Row],[ACTUAL]]</f>
        <v>-67</v>
      </c>
    </row>
    <row r="33" spans="2:6" ht="27" customHeight="1">
      <c r="B33" s="24" t="str">
        <f>CONCATENATE("Total ",B25)</f>
        <v>Total Kids</v>
      </c>
      <c r="C33" s="51" t="s">
        <v>29</v>
      </c>
      <c r="D33" s="31">
        <f>SUBTOTAL(109,Expenses82[ESTIMATED])</f>
        <v>650</v>
      </c>
      <c r="E33" s="31">
        <f>SUBTOTAL(109,Expenses82[ACTUAL])</f>
        <v>667</v>
      </c>
      <c r="F33" s="31">
        <f>SUBTOTAL(109,Expenses82[DIFFERENCE])</f>
        <v>-17</v>
      </c>
    </row>
    <row r="35" spans="2:6" ht="27" customHeight="1">
      <c r="B35" s="49" t="s">
        <v>43</v>
      </c>
      <c r="C35" s="58"/>
      <c r="D35" s="17"/>
      <c r="E35" s="17"/>
    </row>
    <row r="36" spans="2:6" ht="27" customHeight="1">
      <c r="B36" s="50" t="s">
        <v>20</v>
      </c>
      <c r="C36" s="13" t="s">
        <v>21</v>
      </c>
      <c r="D36" s="13" t="s">
        <v>4</v>
      </c>
      <c r="E36" s="13" t="s">
        <v>5</v>
      </c>
      <c r="F36" s="13" t="s">
        <v>7</v>
      </c>
    </row>
    <row r="37" spans="2:6" ht="27" customHeight="1">
      <c r="B37" s="57" t="s">
        <v>44</v>
      </c>
      <c r="C37" s="53" t="s">
        <v>43</v>
      </c>
      <c r="D37" s="36">
        <v>400</v>
      </c>
      <c r="E37" s="36">
        <v>400</v>
      </c>
      <c r="F37" s="36">
        <f>Expenses[[#This Row],[ESTIMATED]]-Expenses[[#This Row],[ACTUAL]]</f>
        <v>0</v>
      </c>
    </row>
    <row r="38" spans="2:6" ht="27" customHeight="1">
      <c r="B38" s="57" t="s">
        <v>45</v>
      </c>
      <c r="C38" s="53" t="s">
        <v>43</v>
      </c>
      <c r="D38" s="36">
        <v>600</v>
      </c>
      <c r="E38" s="36">
        <v>600</v>
      </c>
      <c r="F38" s="36">
        <f>Expenses[[#This Row],[ESTIMATED]]-Expenses[[#This Row],[ACTUAL]]</f>
        <v>0</v>
      </c>
    </row>
    <row r="39" spans="2:6" ht="27" customHeight="1">
      <c r="B39" s="57" t="s">
        <v>46</v>
      </c>
      <c r="C39" s="53" t="s">
        <v>43</v>
      </c>
      <c r="D39" s="36">
        <v>150</v>
      </c>
      <c r="E39" s="36">
        <v>90</v>
      </c>
      <c r="F39" s="36">
        <f>Expenses[[#This Row],[ESTIMATED]]-Expenses[[#This Row],[ACTUAL]]</f>
        <v>60</v>
      </c>
    </row>
    <row r="40" spans="2:6" ht="27" customHeight="1">
      <c r="B40" s="24" t="str">
        <f>CONCATENATE("Total ",B35)</f>
        <v>Total Auto &amp; Transport</v>
      </c>
      <c r="C40" s="51" t="s">
        <v>29</v>
      </c>
      <c r="D40" s="31">
        <f>SUBTOTAL(109,Expenses[ESTIMATED])</f>
        <v>1150</v>
      </c>
      <c r="E40" s="31">
        <f>SUBTOTAL(109,Expenses[ACTUAL])</f>
        <v>1090</v>
      </c>
      <c r="F40" s="31">
        <f>SUBTOTAL(109,Expenses[DIFFERENCE])</f>
        <v>60</v>
      </c>
    </row>
    <row r="42" spans="2:6" ht="27" customHeight="1">
      <c r="B42" s="49" t="s">
        <v>47</v>
      </c>
      <c r="C42" s="58"/>
      <c r="D42" s="17"/>
      <c r="E42" s="17"/>
    </row>
    <row r="43" spans="2:6" ht="27" customHeight="1">
      <c r="B43" s="50" t="s">
        <v>20</v>
      </c>
      <c r="C43" s="13" t="s">
        <v>21</v>
      </c>
      <c r="D43" s="13" t="s">
        <v>4</v>
      </c>
      <c r="E43" s="13" t="s">
        <v>5</v>
      </c>
      <c r="F43" s="13" t="s">
        <v>7</v>
      </c>
    </row>
    <row r="44" spans="2:6" ht="27" customHeight="1">
      <c r="B44" s="57" t="s">
        <v>48</v>
      </c>
      <c r="C44" s="59" t="s">
        <v>49</v>
      </c>
      <c r="D44" s="36">
        <v>150</v>
      </c>
      <c r="E44" s="36">
        <v>150</v>
      </c>
      <c r="F44" s="36">
        <f>Expenses816[[#This Row],[ESTIMATED]]-Expenses816[[#This Row],[ACTUAL]]</f>
        <v>0</v>
      </c>
    </row>
    <row r="45" spans="2:6" ht="27" customHeight="1">
      <c r="B45" s="57" t="s">
        <v>50</v>
      </c>
      <c r="C45" s="59" t="s">
        <v>49</v>
      </c>
      <c r="D45" s="36">
        <v>50</v>
      </c>
      <c r="E45" s="36">
        <v>50</v>
      </c>
      <c r="F45" s="36">
        <f>Expenses816[[#This Row],[ESTIMATED]]-Expenses816[[#This Row],[ACTUAL]]</f>
        <v>0</v>
      </c>
    </row>
    <row r="46" spans="2:6" ht="27" customHeight="1">
      <c r="B46" s="57" t="s">
        <v>51</v>
      </c>
      <c r="C46" s="59" t="s">
        <v>49</v>
      </c>
      <c r="D46" s="36">
        <v>85</v>
      </c>
      <c r="E46" s="36">
        <v>85</v>
      </c>
      <c r="F46" s="36">
        <f>Expenses816[[#This Row],[ESTIMATED]]-Expenses816[[#This Row],[ACTUAL]]</f>
        <v>0</v>
      </c>
    </row>
    <row r="47" spans="2:6" ht="27" customHeight="1">
      <c r="B47" s="57" t="s">
        <v>52</v>
      </c>
      <c r="C47" s="59" t="s">
        <v>49</v>
      </c>
      <c r="D47" s="36">
        <v>45</v>
      </c>
      <c r="E47" s="36">
        <v>45</v>
      </c>
      <c r="F47" s="36">
        <f>Expenses816[[#This Row],[ESTIMATED]]-Expenses816[[#This Row],[ACTUAL]]</f>
        <v>0</v>
      </c>
    </row>
    <row r="48" spans="2:6" ht="27" customHeight="1">
      <c r="B48" s="24" t="str">
        <f>CONCATENATE("Total ",B42)</f>
        <v>Total Personal Care</v>
      </c>
      <c r="C48" s="51" t="s">
        <v>29</v>
      </c>
      <c r="D48" s="31">
        <f>SUBTOTAL(109,Expenses816[ESTIMATED])</f>
        <v>330</v>
      </c>
      <c r="E48" s="31">
        <f>SUBTOTAL(109,Expenses816[ACTUAL])</f>
        <v>330</v>
      </c>
      <c r="F48" s="31">
        <f>SUBTOTAL(109,Expenses816[DIFFERENCE])</f>
        <v>0</v>
      </c>
    </row>
    <row r="50" spans="2:6" ht="27" customHeight="1">
      <c r="B50" s="49" t="s">
        <v>53</v>
      </c>
      <c r="C50" s="58"/>
      <c r="D50" s="17"/>
      <c r="E50" s="17"/>
    </row>
    <row r="51" spans="2:6" ht="27" customHeight="1">
      <c r="B51" s="50" t="s">
        <v>20</v>
      </c>
      <c r="C51" s="13" t="s">
        <v>21</v>
      </c>
      <c r="D51" s="13" t="s">
        <v>4</v>
      </c>
      <c r="E51" s="13" t="s">
        <v>5</v>
      </c>
      <c r="F51" s="13" t="s">
        <v>7</v>
      </c>
    </row>
    <row r="52" spans="2:6" ht="27" customHeight="1">
      <c r="B52" s="54" t="s">
        <v>54</v>
      </c>
      <c r="C52" s="55" t="s">
        <v>53</v>
      </c>
      <c r="D52" s="36">
        <v>300</v>
      </c>
      <c r="E52" s="36">
        <v>200</v>
      </c>
      <c r="F52" s="36">
        <f>Expenses8161718[[#This Row],[ESTIMATED]]-Expenses8161718[[#This Row],[ACTUAL]]</f>
        <v>100</v>
      </c>
    </row>
    <row r="53" spans="2:6" ht="27" customHeight="1">
      <c r="B53" s="54" t="s">
        <v>55</v>
      </c>
      <c r="C53" s="55" t="s">
        <v>53</v>
      </c>
      <c r="D53" s="36">
        <v>0</v>
      </c>
      <c r="E53" s="36">
        <v>0</v>
      </c>
      <c r="F53" s="36">
        <f>Expenses8161718[[#This Row],[ESTIMATED]]-Expenses8161718[[#This Row],[ACTUAL]]</f>
        <v>0</v>
      </c>
    </row>
    <row r="54" spans="2:6" ht="27" customHeight="1">
      <c r="B54" s="54" t="s">
        <v>56</v>
      </c>
      <c r="C54" s="55" t="s">
        <v>53</v>
      </c>
      <c r="D54" s="36">
        <v>100</v>
      </c>
      <c r="E54" s="36">
        <v>250</v>
      </c>
      <c r="F54" s="36">
        <f>Expenses8161718[[#This Row],[ESTIMATED]]-Expenses8161718[[#This Row],[ACTUAL]]</f>
        <v>-150</v>
      </c>
    </row>
    <row r="55" spans="2:6" ht="27" customHeight="1">
      <c r="B55" s="54" t="s">
        <v>57</v>
      </c>
      <c r="C55" s="55" t="s">
        <v>53</v>
      </c>
      <c r="D55" s="36">
        <v>500</v>
      </c>
      <c r="E55" s="36">
        <v>200</v>
      </c>
      <c r="F55" s="36">
        <f>Expenses8161718[[#This Row],[ESTIMATED]]-Expenses8161718[[#This Row],[ACTUAL]]</f>
        <v>300</v>
      </c>
    </row>
    <row r="56" spans="2:6" ht="27" customHeight="1">
      <c r="B56" s="54" t="s">
        <v>58</v>
      </c>
      <c r="C56" s="55" t="s">
        <v>53</v>
      </c>
      <c r="D56" s="36">
        <v>0</v>
      </c>
      <c r="E56" s="36">
        <v>300</v>
      </c>
      <c r="F56" s="36">
        <f>Expenses8161718[[#This Row],[ESTIMATED]]-Expenses8161718[[#This Row],[ACTUAL]]</f>
        <v>-300</v>
      </c>
    </row>
    <row r="57" spans="2:6" ht="27" customHeight="1">
      <c r="B57" s="24" t="str">
        <f>CONCATENATE("Total ",B50)</f>
        <v>Total Food &amp; Dining</v>
      </c>
      <c r="C57" s="51" t="s">
        <v>29</v>
      </c>
      <c r="D57" s="31">
        <f>SUBTOTAL(109,Expenses8161718[ESTIMATED])</f>
        <v>900</v>
      </c>
      <c r="E57" s="31">
        <f>SUBTOTAL(109,Expenses8161718[ACTUAL])</f>
        <v>950</v>
      </c>
      <c r="F57" s="31">
        <f>SUBTOTAL(109,Expenses8161718[DIFFERENCE])</f>
        <v>-50</v>
      </c>
    </row>
    <row r="59" spans="2:6" ht="27" customHeight="1">
      <c r="B59" s="49" t="s">
        <v>59</v>
      </c>
      <c r="C59" s="58"/>
      <c r="D59" s="17"/>
      <c r="E59" s="17"/>
    </row>
    <row r="60" spans="2:6" ht="27" customHeight="1">
      <c r="B60" s="50" t="s">
        <v>20</v>
      </c>
      <c r="C60" s="13" t="s">
        <v>21</v>
      </c>
      <c r="D60" s="13" t="s">
        <v>4</v>
      </c>
      <c r="E60" s="13" t="s">
        <v>5</v>
      </c>
      <c r="F60" s="13" t="s">
        <v>7</v>
      </c>
    </row>
    <row r="61" spans="2:6" ht="27" customHeight="1">
      <c r="B61" s="54" t="s">
        <v>60</v>
      </c>
      <c r="C61" s="55" t="s">
        <v>59</v>
      </c>
      <c r="D61" s="36">
        <v>0</v>
      </c>
      <c r="E61" s="36">
        <v>0</v>
      </c>
      <c r="F61" s="36">
        <f>Expenses816171820[[#This Row],[ESTIMATED]]-Expenses816171820[[#This Row],[ACTUAL]]</f>
        <v>0</v>
      </c>
    </row>
    <row r="62" spans="2:6" ht="27" customHeight="1">
      <c r="B62" s="54" t="s">
        <v>61</v>
      </c>
      <c r="C62" s="55" t="s">
        <v>59</v>
      </c>
      <c r="D62" s="36">
        <v>0</v>
      </c>
      <c r="E62" s="36">
        <v>0</v>
      </c>
      <c r="F62" s="36">
        <f>Expenses816171820[[#This Row],[ESTIMATED]]-Expenses816171820[[#This Row],[ACTUAL]]</f>
        <v>0</v>
      </c>
    </row>
    <row r="63" spans="2:6" ht="27" customHeight="1">
      <c r="B63" s="54" t="s">
        <v>62</v>
      </c>
      <c r="C63" s="55" t="s">
        <v>59</v>
      </c>
      <c r="D63" s="36">
        <v>0</v>
      </c>
      <c r="E63" s="36">
        <v>0</v>
      </c>
      <c r="F63" s="36">
        <f>Expenses816171820[[#This Row],[ESTIMATED]]-Expenses816171820[[#This Row],[ACTUAL]]</f>
        <v>0</v>
      </c>
    </row>
    <row r="64" spans="2:6" ht="27" customHeight="1">
      <c r="B64" s="54" t="s">
        <v>63</v>
      </c>
      <c r="C64" s="55" t="s">
        <v>59</v>
      </c>
      <c r="D64" s="36">
        <v>0</v>
      </c>
      <c r="E64" s="36">
        <v>0</v>
      </c>
      <c r="F64" s="36">
        <f>Expenses816171820[[#This Row],[ESTIMATED]]-Expenses816171820[[#This Row],[ACTUAL]]</f>
        <v>0</v>
      </c>
    </row>
    <row r="65" spans="2:6" ht="27" customHeight="1">
      <c r="B65" s="54" t="s">
        <v>64</v>
      </c>
      <c r="C65" s="55" t="s">
        <v>59</v>
      </c>
      <c r="D65" s="36">
        <v>0</v>
      </c>
      <c r="E65" s="36">
        <v>0</v>
      </c>
      <c r="F65" s="36">
        <f>Expenses816171820[[#This Row],[ESTIMATED]]-Expenses816171820[[#This Row],[ACTUAL]]</f>
        <v>0</v>
      </c>
    </row>
    <row r="66" spans="2:6" ht="27" customHeight="1">
      <c r="B66" s="24" t="str">
        <f>CONCATENATE("Total ",B59)</f>
        <v>Total Investments</v>
      </c>
      <c r="C66" s="51" t="s">
        <v>29</v>
      </c>
      <c r="D66" s="31">
        <f>SUBTOTAL(109,Expenses816171820[ESTIMATED])</f>
        <v>0</v>
      </c>
      <c r="E66" s="31">
        <f>SUBTOTAL(109,Expenses816171820[ACTUAL])</f>
        <v>0</v>
      </c>
      <c r="F66" s="31">
        <f>SUBTOTAL(109,Expenses816171820[DIFFERENCE])</f>
        <v>0</v>
      </c>
    </row>
    <row r="68" spans="2:6" ht="27" customHeight="1">
      <c r="B68" s="49" t="s">
        <v>65</v>
      </c>
      <c r="C68" s="58"/>
      <c r="D68" s="17"/>
      <c r="E68" s="17"/>
    </row>
    <row r="69" spans="2:6" ht="27" customHeight="1">
      <c r="B69" s="50" t="s">
        <v>20</v>
      </c>
      <c r="C69" s="13" t="s">
        <v>21</v>
      </c>
      <c r="D69" s="13" t="s">
        <v>4</v>
      </c>
      <c r="E69" s="13" t="s">
        <v>5</v>
      </c>
      <c r="F69" s="13" t="s">
        <v>7</v>
      </c>
    </row>
    <row r="70" spans="2:6" ht="27" customHeight="1">
      <c r="B70" s="57" t="s">
        <v>66</v>
      </c>
      <c r="C70" s="59" t="s">
        <v>65</v>
      </c>
      <c r="D70" s="36">
        <v>200</v>
      </c>
      <c r="E70" s="36">
        <v>300</v>
      </c>
      <c r="F70" s="36">
        <f>Expenses81415[[#This Row],[ESTIMATED]]-Expenses81415[[#This Row],[ACTUAL]]</f>
        <v>-100</v>
      </c>
    </row>
    <row r="71" spans="2:6" ht="27" customHeight="1">
      <c r="B71" s="57" t="s">
        <v>67</v>
      </c>
      <c r="C71" s="59" t="s">
        <v>65</v>
      </c>
      <c r="D71" s="36">
        <v>0</v>
      </c>
      <c r="E71" s="36">
        <v>150</v>
      </c>
      <c r="F71" s="36">
        <f>Expenses81415[[#This Row],[ESTIMATED]]-Expenses81415[[#This Row],[ACTUAL]]</f>
        <v>-150</v>
      </c>
    </row>
    <row r="72" spans="2:6" ht="27" customHeight="1">
      <c r="B72" s="24" t="str">
        <f>CONCATENATE("Total ",B68)</f>
        <v>Total Entertainment</v>
      </c>
      <c r="C72" s="51" t="s">
        <v>29</v>
      </c>
      <c r="D72" s="31">
        <f>SUBTOTAL(109,Expenses81415[ESTIMATED])</f>
        <v>200</v>
      </c>
      <c r="E72" s="31">
        <f>SUBTOTAL(109,Expenses81415[ACTUAL])</f>
        <v>450</v>
      </c>
      <c r="F72" s="31">
        <f>SUBTOTAL(109,Expenses81415[DIFFERENCE])</f>
        <v>-250</v>
      </c>
    </row>
    <row r="86" spans="2:6" ht="27" customHeight="1">
      <c r="B86" s="49" t="s">
        <v>30</v>
      </c>
      <c r="C86" s="58"/>
      <c r="D86" s="17"/>
      <c r="E86" s="17"/>
    </row>
    <row r="87" spans="2:6" ht="27" customHeight="1">
      <c r="B87" s="50" t="s">
        <v>20</v>
      </c>
      <c r="C87" s="13" t="s">
        <v>21</v>
      </c>
      <c r="D87" s="13" t="s">
        <v>4</v>
      </c>
      <c r="E87" s="13" t="s">
        <v>5</v>
      </c>
      <c r="F87" s="13" t="s">
        <v>7</v>
      </c>
    </row>
    <row r="88" spans="2:6" ht="27" customHeight="1">
      <c r="B88" s="54" t="s">
        <v>34</v>
      </c>
      <c r="C88" s="55" t="s">
        <v>30</v>
      </c>
      <c r="D88" s="36">
        <v>3000</v>
      </c>
      <c r="E88" s="36">
        <v>2500</v>
      </c>
      <c r="F88" s="36">
        <f>Expenses81617182021[[#This Row],[ESTIMATED]]-Expenses81617182021[[#This Row],[ACTUAL]]</f>
        <v>500</v>
      </c>
    </row>
    <row r="89" spans="2:6" ht="27" customHeight="1">
      <c r="B89" s="54" t="s">
        <v>31</v>
      </c>
      <c r="C89" s="55" t="s">
        <v>30</v>
      </c>
      <c r="D89" s="36"/>
      <c r="E89" s="36"/>
      <c r="F89" s="36">
        <f>Expenses81617182021[[#This Row],[ESTIMATED]]-Expenses81617182021[[#This Row],[ACTUAL]]</f>
        <v>0</v>
      </c>
    </row>
    <row r="90" spans="2:6" ht="27" customHeight="1">
      <c r="B90" s="54" t="s">
        <v>32</v>
      </c>
      <c r="C90" s="55" t="s">
        <v>30</v>
      </c>
      <c r="D90" s="36"/>
      <c r="E90" s="36"/>
      <c r="F90" s="36">
        <f>Expenses81617182021[[#This Row],[ESTIMATED]]-Expenses81617182021[[#This Row],[ACTUAL]]</f>
        <v>0</v>
      </c>
    </row>
    <row r="91" spans="2:6" ht="27" customHeight="1">
      <c r="B91" s="54" t="s">
        <v>33</v>
      </c>
      <c r="C91" s="55" t="s">
        <v>30</v>
      </c>
      <c r="D91" s="36"/>
      <c r="E91" s="36"/>
      <c r="F91" s="36">
        <f>Expenses81617182021[[#This Row],[ESTIMATED]]-Expenses81617182021[[#This Row],[ACTUAL]]</f>
        <v>0</v>
      </c>
    </row>
    <row r="92" spans="2:6" ht="27" customHeight="1">
      <c r="B92" s="54" t="s">
        <v>35</v>
      </c>
      <c r="C92" s="55" t="s">
        <v>30</v>
      </c>
      <c r="D92" s="36">
        <v>2000</v>
      </c>
      <c r="E92" s="36">
        <v>2000</v>
      </c>
      <c r="F92" s="36">
        <f>Expenses81617182021[[#This Row],[ESTIMATED]]-Expenses81617182021[[#This Row],[ACTUAL]]</f>
        <v>0</v>
      </c>
    </row>
    <row r="93" spans="2:6" ht="27" customHeight="1">
      <c r="B93" s="24" t="str">
        <f>CONCATENATE("Total ",B86)</f>
        <v>Total Bills &amp; Utilities</v>
      </c>
      <c r="C93" s="51" t="s">
        <v>29</v>
      </c>
      <c r="D93" s="31">
        <f>SUBTOTAL(109,Expenses81617182021[ESTIMATED])</f>
        <v>5000</v>
      </c>
      <c r="E93" s="31">
        <f>SUBTOTAL(109,Expenses81617182021[ACTUAL])</f>
        <v>4500</v>
      </c>
      <c r="F93" s="31">
        <f>SUBTOTAL(109,Expenses81617182021[DIFFERENCE])</f>
        <v>500</v>
      </c>
    </row>
    <row r="95" spans="2:6" ht="27" customHeight="1">
      <c r="B95" s="49" t="s">
        <v>68</v>
      </c>
      <c r="C95" s="58"/>
      <c r="D95" s="17"/>
      <c r="E95" s="17"/>
    </row>
    <row r="96" spans="2:6" ht="27" customHeight="1">
      <c r="B96" s="50" t="s">
        <v>20</v>
      </c>
      <c r="C96" s="13" t="s">
        <v>21</v>
      </c>
      <c r="D96" s="13" t="s">
        <v>4</v>
      </c>
      <c r="E96" s="13" t="s">
        <v>5</v>
      </c>
      <c r="F96" s="13" t="s">
        <v>7</v>
      </c>
    </row>
    <row r="97" spans="2:6" ht="27" customHeight="1">
      <c r="B97" s="54" t="s">
        <v>46</v>
      </c>
      <c r="C97" s="55" t="s">
        <v>68</v>
      </c>
      <c r="D97" s="36">
        <v>3000</v>
      </c>
      <c r="E97" s="36">
        <v>2500</v>
      </c>
      <c r="F97" s="36">
        <f>Expenses8161718202122[[#This Row],[ESTIMATED]]-Expenses8161718202122[[#This Row],[ACTUAL]]</f>
        <v>500</v>
      </c>
    </row>
    <row r="98" spans="2:6" ht="27" customHeight="1">
      <c r="B98" s="54" t="s">
        <v>69</v>
      </c>
      <c r="C98" s="55" t="s">
        <v>68</v>
      </c>
      <c r="D98" s="36"/>
      <c r="E98" s="36"/>
      <c r="F98" s="36">
        <f>Expenses8161718202122[[#This Row],[ESTIMATED]]-Expenses8161718202122[[#This Row],[ACTUAL]]</f>
        <v>0</v>
      </c>
    </row>
    <row r="99" spans="2:6" ht="27" customHeight="1">
      <c r="B99" s="54" t="s">
        <v>70</v>
      </c>
      <c r="C99" s="55" t="s">
        <v>68</v>
      </c>
      <c r="D99" s="36"/>
      <c r="E99" s="36"/>
      <c r="F99" s="36">
        <f>Expenses8161718202122[[#This Row],[ESTIMATED]]-Expenses8161718202122[[#This Row],[ACTUAL]]</f>
        <v>0</v>
      </c>
    </row>
    <row r="100" spans="2:6" ht="27" customHeight="1">
      <c r="B100" s="54" t="s">
        <v>45</v>
      </c>
      <c r="C100" s="55" t="s">
        <v>68</v>
      </c>
      <c r="D100" s="36"/>
      <c r="E100" s="36"/>
      <c r="F100" s="36">
        <f>Expenses8161718202122[[#This Row],[ESTIMATED]]-Expenses8161718202122[[#This Row],[ACTUAL]]</f>
        <v>0</v>
      </c>
    </row>
    <row r="101" spans="2:6" ht="27" customHeight="1">
      <c r="B101" s="54" t="s">
        <v>44</v>
      </c>
      <c r="C101" s="55" t="s">
        <v>68</v>
      </c>
      <c r="D101" s="36">
        <v>2000</v>
      </c>
      <c r="E101" s="36">
        <v>2000</v>
      </c>
      <c r="F101" s="36">
        <f>Expenses8161718202122[[#This Row],[ESTIMATED]]-Expenses8161718202122[[#This Row],[ACTUAL]]</f>
        <v>0</v>
      </c>
    </row>
    <row r="102" spans="2:6" ht="27" customHeight="1">
      <c r="B102" s="24" t="str">
        <f>CONCATENATE("Total ",B95)</f>
        <v>Total Auto &amp; Transportation</v>
      </c>
      <c r="C102" s="51" t="s">
        <v>29</v>
      </c>
      <c r="D102" s="31">
        <f>SUBTOTAL(109,Expenses8161718202122[ESTIMATED])</f>
        <v>5000</v>
      </c>
      <c r="E102" s="31">
        <f>SUBTOTAL(109,Expenses8161718202122[ACTUAL])</f>
        <v>4500</v>
      </c>
      <c r="F102" s="31">
        <f>SUBTOTAL(109,Expenses8161718202122[DIFFERENCE])</f>
        <v>500</v>
      </c>
    </row>
    <row r="104" spans="2:6" ht="27" customHeight="1">
      <c r="B104" s="49" t="s">
        <v>71</v>
      </c>
      <c r="C104" s="58"/>
      <c r="D104" s="17"/>
      <c r="E104" s="17"/>
    </row>
    <row r="105" spans="2:6" ht="27" customHeight="1">
      <c r="B105" s="50" t="s">
        <v>20</v>
      </c>
      <c r="C105" s="13" t="s">
        <v>21</v>
      </c>
      <c r="D105" s="13" t="s">
        <v>4</v>
      </c>
      <c r="E105" s="13" t="s">
        <v>5</v>
      </c>
      <c r="F105" s="13" t="s">
        <v>7</v>
      </c>
    </row>
    <row r="106" spans="2:6" ht="27" customHeight="1">
      <c r="B106" s="54" t="s">
        <v>72</v>
      </c>
      <c r="C106" s="55" t="s">
        <v>71</v>
      </c>
      <c r="D106" s="36">
        <v>3000</v>
      </c>
      <c r="E106" s="36">
        <v>2500</v>
      </c>
      <c r="F106" s="36">
        <f>Expenses816171820212223[[#This Row],[ESTIMATED]]-Expenses816171820212223[[#This Row],[ACTUAL]]</f>
        <v>500</v>
      </c>
    </row>
    <row r="107" spans="2:6" ht="27" customHeight="1">
      <c r="B107" s="54" t="s">
        <v>73</v>
      </c>
      <c r="C107" s="55" t="s">
        <v>71</v>
      </c>
      <c r="D107" s="36"/>
      <c r="E107" s="36"/>
      <c r="F107" s="36">
        <f>Expenses816171820212223[[#This Row],[ESTIMATED]]-Expenses816171820212223[[#This Row],[ACTUAL]]</f>
        <v>0</v>
      </c>
    </row>
    <row r="108" spans="2:6" ht="27" customHeight="1">
      <c r="B108" s="54" t="s">
        <v>74</v>
      </c>
      <c r="C108" s="55" t="s">
        <v>71</v>
      </c>
      <c r="D108" s="36"/>
      <c r="E108" s="36"/>
      <c r="F108" s="36">
        <f>Expenses816171820212223[[#This Row],[ESTIMATED]]-Expenses816171820212223[[#This Row],[ACTUAL]]</f>
        <v>0</v>
      </c>
    </row>
    <row r="109" spans="2:6" ht="27" customHeight="1">
      <c r="B109" s="54" t="s">
        <v>75</v>
      </c>
      <c r="C109" s="55" t="s">
        <v>71</v>
      </c>
      <c r="D109" s="36"/>
      <c r="E109" s="36"/>
      <c r="F109" s="36">
        <f>Expenses816171820212223[[#This Row],[ESTIMATED]]-Expenses816171820212223[[#This Row],[ACTUAL]]</f>
        <v>0</v>
      </c>
    </row>
    <row r="110" spans="2:6" ht="27" customHeight="1">
      <c r="B110" s="24" t="str">
        <f>CONCATENATE("Total ",B104)</f>
        <v>Total Travel</v>
      </c>
      <c r="C110" s="51" t="s">
        <v>29</v>
      </c>
      <c r="D110" s="31">
        <f>SUBTOTAL(109,Expenses816171820212223[ESTIMATED])</f>
        <v>3000</v>
      </c>
      <c r="E110" s="31">
        <f>SUBTOTAL(109,Expenses816171820212223[ACTUAL])</f>
        <v>2500</v>
      </c>
      <c r="F110" s="31">
        <f>SUBTOTAL(109,Expenses816171820212223[DIFFERENCE])</f>
        <v>500</v>
      </c>
    </row>
  </sheetData>
  <mergeCells count="3">
    <mergeCell ref="B1:E1"/>
    <mergeCell ref="B2:E2"/>
    <mergeCell ref="G1:S2"/>
  </mergeCells>
  <conditionalFormatting sqref="F40">
    <cfRule type="cellIs" dxfId="182" priority="17" operator="lessThan">
      <formula>0</formula>
    </cfRule>
  </conditionalFormatting>
  <conditionalFormatting sqref="F23">
    <cfRule type="cellIs" dxfId="181" priority="15" operator="lessThan">
      <formula>0</formula>
    </cfRule>
  </conditionalFormatting>
  <conditionalFormatting sqref="F72">
    <cfRule type="cellIs" dxfId="180" priority="12" operator="lessThan">
      <formula>0</formula>
    </cfRule>
  </conditionalFormatting>
  <conditionalFormatting sqref="F48">
    <cfRule type="cellIs" dxfId="179" priority="11" operator="lessThan">
      <formula>0</formula>
    </cfRule>
  </conditionalFormatting>
  <conditionalFormatting sqref="F57">
    <cfRule type="cellIs" dxfId="178" priority="9" operator="lessThan">
      <formula>0</formula>
    </cfRule>
  </conditionalFormatting>
  <conditionalFormatting sqref="F66">
    <cfRule type="cellIs" dxfId="177" priority="7" operator="lessThan">
      <formula>0</formula>
    </cfRule>
  </conditionalFormatting>
  <conditionalFormatting sqref="F93">
    <cfRule type="cellIs" dxfId="176" priority="6" operator="lessThan">
      <formula>0</formula>
    </cfRule>
  </conditionalFormatting>
  <conditionalFormatting sqref="F102">
    <cfRule type="cellIs" dxfId="175" priority="5" operator="lessThan">
      <formula>0</formula>
    </cfRule>
  </conditionalFormatting>
  <conditionalFormatting sqref="F110">
    <cfRule type="cellIs" dxfId="174" priority="4" operator="lessThan">
      <formula>0</formula>
    </cfRule>
  </conditionalFormatting>
  <conditionalFormatting sqref="F33">
    <cfRule type="cellIs" dxfId="173" priority="2" operator="lessThan">
      <formula>0</formula>
    </cfRule>
  </conditionalFormatting>
  <conditionalFormatting sqref="F14">
    <cfRule type="cellIs" dxfId="172" priority="1" operator="lessThan">
      <formula>0</formula>
    </cfRule>
  </conditionalFormatting>
  <dataValidations count="1">
    <dataValidation allowBlank="1" showInputMessage="1" showErrorMessage="1" errorTitle="ALERT" error="This cell is automatically populated and should not be overwitten. Overwriting this cell would break calculations in this worksheet." sqref="F37:F39 F18:F22 F70:F71 F44:F47 F52:F56 F61:F65 F88:F92 F97:F101 F106:F109 F27:F32 F7:F13" xr:uid="{C4140927-DF14-4508-B5A6-359EFDB9F840}"/>
  </dataValidations>
  <pageMargins left="0.7" right="0.7" top="0.75" bottom="0.75" header="0.3" footer="0.3"/>
  <pageSetup orientation="portrait" horizontalDpi="200" verticalDpi="200" r:id="rId1"/>
  <drawing r:id="rId2"/>
  <tableParts count="11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D4625-21FC-4480-AC47-E7FFC342BED6}">
  <sheetPr>
    <tabColor theme="0" tint="-0.249977111117893"/>
  </sheetPr>
  <dimension ref="A2:N80"/>
  <sheetViews>
    <sheetView topLeftCell="A54" workbookViewId="0">
      <selection activeCell="J64" sqref="J64:K69"/>
    </sheetView>
  </sheetViews>
  <sheetFormatPr defaultRowHeight="18"/>
  <cols>
    <col min="1" max="1" width="20.625" bestFit="1" customWidth="1"/>
    <col min="2" max="2" width="21.75" bestFit="1" customWidth="1"/>
    <col min="3" max="3" width="22.625" bestFit="1" customWidth="1"/>
    <col min="9" max="9" width="20.625" bestFit="1" customWidth="1"/>
    <col min="10" max="10" width="21.75" bestFit="1" customWidth="1"/>
    <col min="12" max="12" width="23.25" bestFit="1" customWidth="1"/>
  </cols>
  <sheetData>
    <row r="2" spans="1:14">
      <c r="A2" s="13" t="s">
        <v>76</v>
      </c>
      <c r="B2" s="13" t="s">
        <v>77</v>
      </c>
      <c r="C2" s="13" t="s">
        <v>78</v>
      </c>
    </row>
    <row r="3" spans="1:14">
      <c r="A3" s="30" t="s">
        <v>29</v>
      </c>
      <c r="B3" s="30" t="s">
        <v>8</v>
      </c>
      <c r="C3" s="30" t="s">
        <v>79</v>
      </c>
    </row>
    <row r="4" spans="1:14">
      <c r="A4" s="30" t="s">
        <v>29</v>
      </c>
      <c r="B4" s="30" t="s">
        <v>9</v>
      </c>
      <c r="C4" s="30" t="s">
        <v>79</v>
      </c>
    </row>
    <row r="5" spans="1:14">
      <c r="A5" s="30" t="s">
        <v>29</v>
      </c>
      <c r="B5" s="30" t="s">
        <v>10</v>
      </c>
      <c r="C5" s="30" t="s">
        <v>79</v>
      </c>
    </row>
    <row r="6" spans="1:14">
      <c r="A6" s="30" t="s">
        <v>29</v>
      </c>
      <c r="B6" s="30" t="s">
        <v>11</v>
      </c>
      <c r="C6" s="30" t="s">
        <v>79</v>
      </c>
    </row>
    <row r="7" spans="1:14">
      <c r="A7" s="30" t="s">
        <v>29</v>
      </c>
      <c r="B7" s="30" t="s">
        <v>12</v>
      </c>
      <c r="C7" s="30" t="s">
        <v>79</v>
      </c>
    </row>
    <row r="8" spans="1:14">
      <c r="A8" s="30" t="s">
        <v>29</v>
      </c>
      <c r="B8" s="30" t="s">
        <v>13</v>
      </c>
      <c r="C8" s="30" t="s">
        <v>79</v>
      </c>
    </row>
    <row r="9" spans="1:14">
      <c r="A9" s="30" t="s">
        <v>29</v>
      </c>
      <c r="B9" s="30" t="s">
        <v>14</v>
      </c>
      <c r="C9" s="30" t="s">
        <v>79</v>
      </c>
    </row>
    <row r="10" spans="1:14">
      <c r="A10" s="30" t="s">
        <v>65</v>
      </c>
      <c r="B10" s="30" t="s">
        <v>80</v>
      </c>
      <c r="C10" s="30" t="s">
        <v>81</v>
      </c>
    </row>
    <row r="11" spans="1:14">
      <c r="A11" s="30" t="s">
        <v>65</v>
      </c>
      <c r="B11" s="30" t="s">
        <v>82</v>
      </c>
      <c r="C11" s="30" t="s">
        <v>81</v>
      </c>
    </row>
    <row r="12" spans="1:14">
      <c r="A12" s="30" t="s">
        <v>65</v>
      </c>
      <c r="B12" s="30" t="s">
        <v>67</v>
      </c>
      <c r="C12" s="30" t="s">
        <v>81</v>
      </c>
    </row>
    <row r="13" spans="1:14">
      <c r="A13" s="30" t="s">
        <v>65</v>
      </c>
      <c r="B13" s="30" t="s">
        <v>83</v>
      </c>
      <c r="C13" s="30" t="s">
        <v>81</v>
      </c>
    </row>
    <row r="14" spans="1:14">
      <c r="A14" s="30" t="s">
        <v>84</v>
      </c>
      <c r="B14" s="30" t="s">
        <v>85</v>
      </c>
      <c r="C14" s="30" t="s">
        <v>81</v>
      </c>
      <c r="J14" s="33"/>
      <c r="K14" s="32"/>
      <c r="N14" s="29"/>
    </row>
    <row r="15" spans="1:14">
      <c r="A15" s="30" t="s">
        <v>84</v>
      </c>
      <c r="B15" s="30" t="s">
        <v>86</v>
      </c>
      <c r="C15" s="30" t="s">
        <v>81</v>
      </c>
      <c r="J15" s="33"/>
      <c r="K15" s="32"/>
      <c r="N15" s="29"/>
    </row>
    <row r="16" spans="1:14">
      <c r="A16" s="30" t="s">
        <v>84</v>
      </c>
      <c r="B16" s="30" t="s">
        <v>87</v>
      </c>
      <c r="C16" s="30" t="s">
        <v>81</v>
      </c>
      <c r="J16" s="33"/>
      <c r="K16" s="32"/>
      <c r="N16" s="29"/>
    </row>
    <row r="17" spans="1:14">
      <c r="A17" s="30" t="s">
        <v>88</v>
      </c>
      <c r="B17" s="30" t="s">
        <v>89</v>
      </c>
      <c r="C17" s="30" t="s">
        <v>81</v>
      </c>
      <c r="N17" s="29"/>
    </row>
    <row r="18" spans="1:14">
      <c r="A18" s="30" t="s">
        <v>88</v>
      </c>
      <c r="B18" s="30" t="s">
        <v>90</v>
      </c>
      <c r="C18" s="30" t="s">
        <v>81</v>
      </c>
      <c r="N18" s="29"/>
    </row>
    <row r="19" spans="1:14">
      <c r="A19" s="30" t="s">
        <v>88</v>
      </c>
      <c r="B19" s="30" t="s">
        <v>91</v>
      </c>
      <c r="C19" s="30" t="s">
        <v>81</v>
      </c>
      <c r="L19" s="29"/>
      <c r="N19" s="29"/>
    </row>
    <row r="20" spans="1:14">
      <c r="A20" s="30" t="s">
        <v>88</v>
      </c>
      <c r="B20" s="30" t="s">
        <v>92</v>
      </c>
      <c r="C20" s="30" t="s">
        <v>81</v>
      </c>
      <c r="L20" s="29"/>
      <c r="N20" s="29"/>
    </row>
    <row r="21" spans="1:14">
      <c r="A21" s="30" t="s">
        <v>88</v>
      </c>
      <c r="B21" s="30" t="s">
        <v>93</v>
      </c>
      <c r="C21" s="30" t="s">
        <v>81</v>
      </c>
      <c r="L21" s="29"/>
      <c r="N21" s="29"/>
    </row>
    <row r="22" spans="1:14">
      <c r="A22" s="30" t="s">
        <v>47</v>
      </c>
      <c r="B22" s="30" t="s">
        <v>94</v>
      </c>
      <c r="C22" s="30" t="s">
        <v>81</v>
      </c>
      <c r="L22" s="29"/>
      <c r="N22" s="29"/>
    </row>
    <row r="23" spans="1:14">
      <c r="A23" s="30" t="s">
        <v>47</v>
      </c>
      <c r="B23" s="30" t="s">
        <v>95</v>
      </c>
      <c r="C23" s="30" t="s">
        <v>81</v>
      </c>
      <c r="L23" s="29"/>
      <c r="N23" s="29"/>
    </row>
    <row r="24" spans="1:14">
      <c r="A24" s="30" t="s">
        <v>47</v>
      </c>
      <c r="B24" s="30" t="s">
        <v>96</v>
      </c>
      <c r="C24" s="30" t="s">
        <v>81</v>
      </c>
      <c r="L24" s="29"/>
      <c r="N24" s="29"/>
    </row>
    <row r="25" spans="1:14">
      <c r="A25" s="30" t="s">
        <v>49</v>
      </c>
      <c r="B25" s="30" t="s">
        <v>48</v>
      </c>
      <c r="C25" s="30" t="s">
        <v>81</v>
      </c>
      <c r="L25" s="29"/>
      <c r="N25" s="29"/>
    </row>
    <row r="26" spans="1:14">
      <c r="A26" s="30" t="s">
        <v>49</v>
      </c>
      <c r="B26" s="30" t="s">
        <v>50</v>
      </c>
      <c r="C26" s="30" t="s">
        <v>81</v>
      </c>
      <c r="L26" s="29"/>
      <c r="N26" s="29"/>
    </row>
    <row r="27" spans="1:14">
      <c r="A27" s="30" t="s">
        <v>49</v>
      </c>
      <c r="B27" s="30" t="s">
        <v>97</v>
      </c>
      <c r="C27" s="30" t="s">
        <v>81</v>
      </c>
      <c r="L27" s="29"/>
      <c r="N27" s="29"/>
    </row>
    <row r="28" spans="1:14">
      <c r="A28" s="30" t="s">
        <v>49</v>
      </c>
      <c r="B28" s="30" t="s">
        <v>98</v>
      </c>
      <c r="C28" s="30" t="s">
        <v>81</v>
      </c>
      <c r="L28" s="29"/>
    </row>
    <row r="29" spans="1:14">
      <c r="A29" s="30" t="s">
        <v>49</v>
      </c>
      <c r="B29" s="30" t="s">
        <v>52</v>
      </c>
      <c r="C29" s="30" t="s">
        <v>81</v>
      </c>
      <c r="L29" s="29"/>
    </row>
    <row r="30" spans="1:14">
      <c r="A30" s="30" t="s">
        <v>49</v>
      </c>
      <c r="B30" s="30" t="s">
        <v>51</v>
      </c>
      <c r="C30" s="30" t="s">
        <v>81</v>
      </c>
      <c r="L30" s="29"/>
    </row>
    <row r="31" spans="1:14">
      <c r="A31" s="30" t="s">
        <v>49</v>
      </c>
      <c r="B31" s="30" t="s">
        <v>99</v>
      </c>
      <c r="C31" s="30" t="s">
        <v>81</v>
      </c>
      <c r="L31" s="29"/>
    </row>
    <row r="32" spans="1:14">
      <c r="A32" s="30" t="s">
        <v>36</v>
      </c>
      <c r="B32" s="30" t="s">
        <v>100</v>
      </c>
      <c r="C32" s="30" t="s">
        <v>81</v>
      </c>
      <c r="L32" s="29"/>
    </row>
    <row r="33" spans="1:12">
      <c r="A33" s="30" t="s">
        <v>36</v>
      </c>
      <c r="B33" s="30" t="s">
        <v>37</v>
      </c>
      <c r="C33" s="30" t="s">
        <v>81</v>
      </c>
      <c r="L33" s="29"/>
    </row>
    <row r="34" spans="1:12">
      <c r="A34" s="30" t="s">
        <v>36</v>
      </c>
      <c r="B34" s="30" t="s">
        <v>38</v>
      </c>
      <c r="C34" s="30" t="s">
        <v>81</v>
      </c>
      <c r="L34" s="29"/>
    </row>
    <row r="35" spans="1:12">
      <c r="A35" s="30" t="s">
        <v>36</v>
      </c>
      <c r="B35" s="30" t="s">
        <v>39</v>
      </c>
      <c r="C35" s="30" t="s">
        <v>81</v>
      </c>
      <c r="L35" s="29"/>
    </row>
    <row r="36" spans="1:12">
      <c r="A36" s="30" t="s">
        <v>36</v>
      </c>
      <c r="B36" s="30" t="s">
        <v>40</v>
      </c>
      <c r="C36" s="30" t="s">
        <v>81</v>
      </c>
      <c r="L36" s="29"/>
    </row>
    <row r="37" spans="1:12">
      <c r="A37" s="30" t="s">
        <v>36</v>
      </c>
      <c r="B37" s="30" t="s">
        <v>42</v>
      </c>
      <c r="C37" s="30" t="s">
        <v>81</v>
      </c>
      <c r="L37" s="29"/>
    </row>
    <row r="38" spans="1:12">
      <c r="A38" s="30" t="s">
        <v>53</v>
      </c>
      <c r="B38" s="30" t="s">
        <v>54</v>
      </c>
      <c r="C38" s="30" t="s">
        <v>81</v>
      </c>
      <c r="L38" s="29"/>
    </row>
    <row r="39" spans="1:12">
      <c r="A39" s="30" t="s">
        <v>53</v>
      </c>
      <c r="B39" s="30" t="s">
        <v>55</v>
      </c>
      <c r="C39" s="30" t="s">
        <v>81</v>
      </c>
      <c r="L39" s="29"/>
    </row>
    <row r="40" spans="1:12">
      <c r="A40" s="30" t="s">
        <v>53</v>
      </c>
      <c r="B40" s="30" t="s">
        <v>56</v>
      </c>
      <c r="C40" s="30" t="s">
        <v>81</v>
      </c>
      <c r="L40" s="29"/>
    </row>
    <row r="41" spans="1:12">
      <c r="A41" s="30" t="s">
        <v>53</v>
      </c>
      <c r="B41" s="30" t="s">
        <v>57</v>
      </c>
      <c r="C41" s="30" t="s">
        <v>81</v>
      </c>
      <c r="L41" s="29"/>
    </row>
    <row r="42" spans="1:12">
      <c r="A42" s="30" t="s">
        <v>53</v>
      </c>
      <c r="B42" s="30" t="s">
        <v>58</v>
      </c>
      <c r="C42" s="30" t="s">
        <v>81</v>
      </c>
      <c r="L42" s="29"/>
    </row>
    <row r="43" spans="1:12">
      <c r="A43" s="30" t="s">
        <v>101</v>
      </c>
      <c r="B43" s="30" t="s">
        <v>102</v>
      </c>
      <c r="C43" s="30" t="s">
        <v>81</v>
      </c>
      <c r="L43" s="29"/>
    </row>
    <row r="44" spans="1:12">
      <c r="A44" s="30" t="s">
        <v>101</v>
      </c>
      <c r="B44" s="30" t="s">
        <v>103</v>
      </c>
      <c r="C44" s="30" t="s">
        <v>81</v>
      </c>
      <c r="L44" s="29"/>
    </row>
    <row r="45" spans="1:12">
      <c r="A45" s="30" t="s">
        <v>59</v>
      </c>
      <c r="B45" s="30" t="s">
        <v>60</v>
      </c>
      <c r="C45" s="30" t="s">
        <v>81</v>
      </c>
      <c r="L45" s="29"/>
    </row>
    <row r="46" spans="1:12">
      <c r="A46" s="30" t="s">
        <v>59</v>
      </c>
      <c r="B46" s="30" t="s">
        <v>61</v>
      </c>
      <c r="C46" s="30" t="s">
        <v>81</v>
      </c>
      <c r="L46" s="29"/>
    </row>
    <row r="47" spans="1:12">
      <c r="A47" s="30" t="s">
        <v>59</v>
      </c>
      <c r="B47" s="30" t="s">
        <v>62</v>
      </c>
      <c r="C47" s="30" t="s">
        <v>81</v>
      </c>
      <c r="L47" s="29"/>
    </row>
    <row r="48" spans="1:12">
      <c r="A48" s="30" t="s">
        <v>59</v>
      </c>
      <c r="B48" s="30" t="s">
        <v>63</v>
      </c>
      <c r="C48" s="30" t="s">
        <v>81</v>
      </c>
      <c r="L48" s="29"/>
    </row>
    <row r="49" spans="1:12">
      <c r="A49" s="30" t="s">
        <v>59</v>
      </c>
      <c r="B49" s="30" t="s">
        <v>64</v>
      </c>
      <c r="C49" s="30" t="s">
        <v>81</v>
      </c>
      <c r="L49" s="29"/>
    </row>
    <row r="50" spans="1:12">
      <c r="A50" s="30" t="s">
        <v>30</v>
      </c>
      <c r="B50" s="30" t="s">
        <v>34</v>
      </c>
      <c r="C50" s="30" t="s">
        <v>81</v>
      </c>
      <c r="L50" s="29"/>
    </row>
    <row r="51" spans="1:12">
      <c r="A51" s="30" t="s">
        <v>30</v>
      </c>
      <c r="B51" s="30" t="s">
        <v>31</v>
      </c>
      <c r="C51" s="30" t="s">
        <v>81</v>
      </c>
      <c r="L51" s="29"/>
    </row>
    <row r="52" spans="1:12">
      <c r="A52" s="30" t="s">
        <v>30</v>
      </c>
      <c r="B52" s="30" t="s">
        <v>32</v>
      </c>
      <c r="C52" s="30" t="s">
        <v>81</v>
      </c>
      <c r="L52" s="29"/>
    </row>
    <row r="53" spans="1:12">
      <c r="A53" s="30" t="s">
        <v>30</v>
      </c>
      <c r="B53" s="30" t="s">
        <v>33</v>
      </c>
      <c r="C53" s="30" t="s">
        <v>81</v>
      </c>
      <c r="L53" s="29"/>
    </row>
    <row r="54" spans="1:12">
      <c r="A54" s="30" t="s">
        <v>30</v>
      </c>
      <c r="B54" s="30" t="s">
        <v>35</v>
      </c>
      <c r="C54" s="30" t="s">
        <v>81</v>
      </c>
      <c r="L54" s="29"/>
    </row>
    <row r="55" spans="1:12">
      <c r="A55" s="30" t="s">
        <v>68</v>
      </c>
      <c r="B55" s="30" t="s">
        <v>46</v>
      </c>
      <c r="C55" s="30" t="s">
        <v>81</v>
      </c>
      <c r="L55" s="29"/>
    </row>
    <row r="56" spans="1:12">
      <c r="A56" s="30" t="s">
        <v>68</v>
      </c>
      <c r="B56" s="30" t="s">
        <v>69</v>
      </c>
      <c r="C56" s="30" t="s">
        <v>81</v>
      </c>
      <c r="L56" s="29"/>
    </row>
    <row r="57" spans="1:12">
      <c r="A57" s="30" t="s">
        <v>68</v>
      </c>
      <c r="B57" s="30" t="s">
        <v>70</v>
      </c>
      <c r="C57" s="30" t="s">
        <v>81</v>
      </c>
      <c r="L57" s="29"/>
    </row>
    <row r="58" spans="1:12">
      <c r="A58" s="30" t="s">
        <v>68</v>
      </c>
      <c r="B58" s="30" t="s">
        <v>45</v>
      </c>
      <c r="C58" s="30" t="s">
        <v>81</v>
      </c>
      <c r="L58" s="29"/>
    </row>
    <row r="59" spans="1:12">
      <c r="A59" s="30" t="s">
        <v>68</v>
      </c>
      <c r="B59" s="30" t="s">
        <v>44</v>
      </c>
      <c r="C59" s="30" t="s">
        <v>81</v>
      </c>
      <c r="L59" s="29"/>
    </row>
    <row r="60" spans="1:12">
      <c r="A60" s="30" t="s">
        <v>71</v>
      </c>
      <c r="B60" s="30" t="s">
        <v>72</v>
      </c>
      <c r="C60" s="30" t="s">
        <v>81</v>
      </c>
      <c r="L60" s="29"/>
    </row>
    <row r="61" spans="1:12">
      <c r="A61" s="30" t="s">
        <v>71</v>
      </c>
      <c r="B61" s="30" t="s">
        <v>73</v>
      </c>
      <c r="C61" s="30" t="s">
        <v>81</v>
      </c>
      <c r="L61" s="29"/>
    </row>
    <row r="62" spans="1:12">
      <c r="A62" s="30" t="s">
        <v>71</v>
      </c>
      <c r="B62" s="30" t="s">
        <v>74</v>
      </c>
      <c r="C62" s="30" t="s">
        <v>81</v>
      </c>
      <c r="L62" s="29"/>
    </row>
    <row r="63" spans="1:12">
      <c r="A63" s="30" t="s">
        <v>71</v>
      </c>
      <c r="B63" s="30" t="s">
        <v>75</v>
      </c>
      <c r="C63" s="30" t="s">
        <v>81</v>
      </c>
      <c r="L63" s="29"/>
    </row>
    <row r="64" spans="1:12">
      <c r="A64" s="30" t="s">
        <v>104</v>
      </c>
      <c r="B64" s="30" t="s">
        <v>105</v>
      </c>
      <c r="C64" s="30" t="s">
        <v>81</v>
      </c>
      <c r="L64" s="29"/>
    </row>
    <row r="65" spans="1:12">
      <c r="A65" s="30" t="s">
        <v>104</v>
      </c>
      <c r="B65" s="30" t="s">
        <v>106</v>
      </c>
      <c r="C65" s="30" t="s">
        <v>81</v>
      </c>
      <c r="L65" s="29"/>
    </row>
    <row r="66" spans="1:12">
      <c r="A66" s="30" t="s">
        <v>104</v>
      </c>
      <c r="B66" s="30" t="s">
        <v>107</v>
      </c>
      <c r="C66" s="30" t="s">
        <v>81</v>
      </c>
      <c r="L66" s="29"/>
    </row>
    <row r="67" spans="1:12">
      <c r="A67" s="30" t="s">
        <v>104</v>
      </c>
      <c r="B67" s="30" t="s">
        <v>108</v>
      </c>
      <c r="C67" s="30" t="s">
        <v>81</v>
      </c>
      <c r="L67" s="29"/>
    </row>
    <row r="68" spans="1:12">
      <c r="A68" s="30" t="s">
        <v>104</v>
      </c>
      <c r="B68" s="30" t="s">
        <v>109</v>
      </c>
      <c r="C68" s="30" t="s">
        <v>81</v>
      </c>
      <c r="L68" s="29"/>
    </row>
    <row r="69" spans="1:12">
      <c r="A69" s="30" t="s">
        <v>104</v>
      </c>
      <c r="B69" s="30" t="s">
        <v>110</v>
      </c>
      <c r="C69" s="30" t="s">
        <v>81</v>
      </c>
      <c r="L69" s="29"/>
    </row>
    <row r="70" spans="1:12">
      <c r="A70" s="30" t="s">
        <v>111</v>
      </c>
      <c r="B70" s="30" t="s">
        <v>112</v>
      </c>
      <c r="C70" s="30" t="s">
        <v>81</v>
      </c>
      <c r="J70" s="33" t="s">
        <v>112</v>
      </c>
      <c r="K70" s="32" t="s">
        <v>111</v>
      </c>
      <c r="L70" s="29"/>
    </row>
    <row r="71" spans="1:12">
      <c r="A71" s="30" t="s">
        <v>111</v>
      </c>
      <c r="B71" s="30" t="s">
        <v>113</v>
      </c>
      <c r="C71" s="30" t="s">
        <v>81</v>
      </c>
      <c r="J71" s="33" t="s">
        <v>113</v>
      </c>
      <c r="K71" s="32" t="s">
        <v>111</v>
      </c>
      <c r="L71" s="29"/>
    </row>
    <row r="72" spans="1:12">
      <c r="A72" s="30" t="s">
        <v>111</v>
      </c>
      <c r="B72" s="30" t="s">
        <v>114</v>
      </c>
      <c r="C72" s="30" t="s">
        <v>81</v>
      </c>
      <c r="J72" s="33" t="s">
        <v>114</v>
      </c>
      <c r="K72" s="32" t="s">
        <v>111</v>
      </c>
      <c r="L72" s="29"/>
    </row>
    <row r="73" spans="1:12">
      <c r="A73" s="30" t="s">
        <v>111</v>
      </c>
      <c r="B73" s="30" t="s">
        <v>115</v>
      </c>
      <c r="C73" s="30" t="s">
        <v>81</v>
      </c>
      <c r="J73" s="33" t="s">
        <v>115</v>
      </c>
      <c r="K73" s="32" t="s">
        <v>111</v>
      </c>
      <c r="L73" s="29"/>
    </row>
    <row r="74" spans="1:12">
      <c r="A74" s="30" t="s">
        <v>111</v>
      </c>
      <c r="B74" s="30" t="s">
        <v>116</v>
      </c>
      <c r="C74" s="30" t="s">
        <v>81</v>
      </c>
      <c r="J74" s="33" t="s">
        <v>116</v>
      </c>
      <c r="K74" s="32" t="s">
        <v>111</v>
      </c>
      <c r="L74" s="29"/>
    </row>
    <row r="75" spans="1:12">
      <c r="A75" s="30" t="s">
        <v>117</v>
      </c>
      <c r="B75" s="30" t="s">
        <v>118</v>
      </c>
      <c r="C75" s="30" t="s">
        <v>81</v>
      </c>
      <c r="J75" s="33" t="s">
        <v>118</v>
      </c>
      <c r="K75" s="32" t="s">
        <v>117</v>
      </c>
      <c r="L75" s="29"/>
    </row>
    <row r="76" spans="1:12">
      <c r="A76" s="30" t="s">
        <v>117</v>
      </c>
      <c r="B76" s="30" t="s">
        <v>119</v>
      </c>
      <c r="C76" s="30" t="s">
        <v>81</v>
      </c>
      <c r="J76" s="33" t="s">
        <v>119</v>
      </c>
      <c r="K76" s="32" t="s">
        <v>117</v>
      </c>
      <c r="L76" s="29"/>
    </row>
    <row r="77" spans="1:12">
      <c r="A77" s="30" t="s">
        <v>117</v>
      </c>
      <c r="B77" s="30" t="s">
        <v>120</v>
      </c>
      <c r="C77" s="30" t="s">
        <v>81</v>
      </c>
      <c r="J77" s="33" t="s">
        <v>120</v>
      </c>
      <c r="K77" s="32" t="s">
        <v>117</v>
      </c>
      <c r="L77" s="29"/>
    </row>
    <row r="78" spans="1:12">
      <c r="A78" s="30" t="s">
        <v>117</v>
      </c>
      <c r="B78" s="30" t="s">
        <v>121</v>
      </c>
      <c r="C78" s="30" t="s">
        <v>81</v>
      </c>
      <c r="J78" s="33" t="s">
        <v>121</v>
      </c>
      <c r="K78" s="32" t="s">
        <v>117</v>
      </c>
      <c r="L78" s="29"/>
    </row>
    <row r="79" spans="1:12">
      <c r="A79" s="30" t="s">
        <v>117</v>
      </c>
      <c r="B79" s="30" t="s">
        <v>122</v>
      </c>
      <c r="C79" s="30" t="s">
        <v>81</v>
      </c>
      <c r="J79" s="33" t="s">
        <v>122</v>
      </c>
      <c r="K79" s="32" t="s">
        <v>117</v>
      </c>
      <c r="L79" s="29"/>
    </row>
    <row r="80" spans="1:12">
      <c r="A80" s="30" t="s">
        <v>117</v>
      </c>
      <c r="B80" s="30" t="s">
        <v>122</v>
      </c>
      <c r="C80" s="30" t="s">
        <v>81</v>
      </c>
      <c r="J80" s="35" t="s">
        <v>122</v>
      </c>
      <c r="K80" s="34" t="s">
        <v>117</v>
      </c>
      <c r="L80" s="29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  <pageSetUpPr autoPageBreaks="0" fitToPage="1"/>
  </sheetPr>
  <dimension ref="B1:V31"/>
  <sheetViews>
    <sheetView showGridLines="0" zoomScale="70" zoomScaleNormal="70" workbookViewId="0">
      <selection activeCell="C3" sqref="B3:C3"/>
    </sheetView>
  </sheetViews>
  <sheetFormatPr defaultColWidth="9" defaultRowHeight="30" customHeight="1"/>
  <cols>
    <col min="1" max="1" width="4.125" customWidth="1"/>
    <col min="2" max="2" width="37.25" customWidth="1"/>
    <col min="3" max="6" width="30.75" customWidth="1"/>
    <col min="7" max="8" width="4.125" customWidth="1"/>
    <col min="15" max="15" width="8.625" customWidth="1"/>
    <col min="20" max="20" width="6" customWidth="1"/>
    <col min="21" max="21" width="4.375" customWidth="1"/>
  </cols>
  <sheetData>
    <row r="1" spans="2:21" ht="37.9" customHeight="1">
      <c r="B1" s="20" t="s">
        <v>0</v>
      </c>
      <c r="C1" s="20"/>
      <c r="D1" s="20"/>
      <c r="E1" s="12"/>
      <c r="F1" s="12"/>
      <c r="G1" s="13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1"/>
    </row>
    <row r="2" spans="2:21" ht="58.9" customHeight="1">
      <c r="B2" s="19" t="s">
        <v>123</v>
      </c>
      <c r="C2" s="19"/>
      <c r="D2" s="19"/>
      <c r="E2" s="14"/>
      <c r="F2" s="14"/>
      <c r="G2" s="13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1"/>
    </row>
    <row r="3" spans="2:21" ht="29.25" customHeight="1">
      <c r="B3" s="62" t="s">
        <v>124</v>
      </c>
      <c r="C3" s="63"/>
      <c r="D3" s="61"/>
      <c r="E3" s="17"/>
      <c r="F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2:21" ht="33.75" customHeight="1">
      <c r="U4" s="1"/>
    </row>
    <row r="5" spans="2:21" s="2" customFormat="1" ht="30" customHeight="1">
      <c r="B5" s="43" t="s">
        <v>125</v>
      </c>
      <c r="Q5"/>
      <c r="U5" s="3"/>
    </row>
    <row r="6" spans="2:21" ht="30" customHeight="1">
      <c r="B6" s="15" t="s">
        <v>126</v>
      </c>
      <c r="C6" s="16" t="s">
        <v>4</v>
      </c>
      <c r="D6" s="16" t="s">
        <v>5</v>
      </c>
      <c r="E6" s="16" t="s">
        <v>7</v>
      </c>
      <c r="F6" s="16" t="s">
        <v>127</v>
      </c>
      <c r="U6" s="1"/>
    </row>
    <row r="7" spans="2:21" ht="30" customHeight="1">
      <c r="B7" s="21" t="s">
        <v>16</v>
      </c>
      <c r="C7" s="25">
        <f>IFERROR(VLOOKUP(Table2[[#This Row],[BUDGET TOTALS]],'Income Inputs'!B:D,2,FALSE),"-")</f>
        <v>4300</v>
      </c>
      <c r="D7" s="25">
        <f>IFERROR(VLOOKUP(Table2[[#This Row],[BUDGET TOTALS]],'Income Inputs'!B:D,3,FALSE),"-")</f>
        <v>5950</v>
      </c>
      <c r="E7" s="26">
        <f>Table2[[#This Row],[ACTUAL]]-Table2[[#This Row],[ESTIMATED]]</f>
        <v>1650</v>
      </c>
      <c r="F7" s="22">
        <f>Table2[[#This Row],[ACTUAL]]/Table2[[#This Row],[ESTIMATED]]-1</f>
        <v>0.38372093023255816</v>
      </c>
      <c r="U7" s="1"/>
    </row>
    <row r="8" spans="2:21" ht="30" customHeight="1">
      <c r="B8" s="21" t="s">
        <v>128</v>
      </c>
      <c r="C8" s="25">
        <f>Expenses[[#Totals],[ESTIMATED]]</f>
        <v>1150</v>
      </c>
      <c r="D8" s="25">
        <f>Expenses[[#Totals],[ACTUAL]]</f>
        <v>1090</v>
      </c>
      <c r="E8" s="26">
        <f>Table2[[#This Row],[ACTUAL]]-Table2[[#This Row],[ESTIMATED]]</f>
        <v>-60</v>
      </c>
      <c r="F8" s="48">
        <f>Table2[[#This Row],[ACTUAL]]/Table2[[#This Row],[ESTIMATED]]-1</f>
        <v>-5.2173913043478293E-2</v>
      </c>
      <c r="U8" s="1"/>
    </row>
    <row r="9" spans="2:21" ht="30" customHeight="1">
      <c r="B9" s="23" t="s">
        <v>129</v>
      </c>
      <c r="C9" s="28">
        <f>C7-C8</f>
        <v>3150</v>
      </c>
      <c r="D9" s="28">
        <f t="shared" ref="D9" si="0">D7-D8</f>
        <v>4860</v>
      </c>
      <c r="E9" s="26">
        <f>SUBTOTAL(109,Table2[DIFFERENCE])</f>
        <v>1590</v>
      </c>
      <c r="F9" s="22">
        <f>Table2[[#Totals],[ACTUAL]]/Table2[[#Totals],[ESTIMATED]]-1</f>
        <v>0.54285714285714293</v>
      </c>
      <c r="U9" s="1"/>
    </row>
    <row r="10" spans="2:21" ht="30" customHeight="1">
      <c r="B10" s="44"/>
      <c r="C10" s="45"/>
      <c r="D10" s="45"/>
      <c r="E10" s="45"/>
      <c r="F10" s="46"/>
      <c r="U10" s="1"/>
    </row>
    <row r="11" spans="2:21" ht="30" customHeight="1">
      <c r="B11" s="44"/>
      <c r="C11" s="45"/>
      <c r="D11" s="45"/>
      <c r="E11" s="45"/>
      <c r="F11" s="46"/>
      <c r="U11" s="1"/>
    </row>
    <row r="12" spans="2:21" ht="30" customHeight="1">
      <c r="U12" s="1"/>
    </row>
    <row r="13" spans="2:21" ht="30" customHeight="1">
      <c r="B13" s="43" t="s">
        <v>128</v>
      </c>
      <c r="C13" s="17"/>
      <c r="D13" s="17"/>
      <c r="E13" s="17"/>
      <c r="R13" s="10"/>
      <c r="S13" s="10"/>
    </row>
    <row r="14" spans="2:21" ht="30" customHeight="1">
      <c r="B14" s="39" t="s">
        <v>130</v>
      </c>
      <c r="C14" s="39" t="s">
        <v>4</v>
      </c>
      <c r="D14" s="39" t="s">
        <v>5</v>
      </c>
      <c r="E14" s="39" t="s">
        <v>7</v>
      </c>
      <c r="F14" s="39" t="s">
        <v>131</v>
      </c>
      <c r="R14" s="10"/>
      <c r="S14" s="10"/>
    </row>
    <row r="15" spans="2:21" ht="30" customHeight="1">
      <c r="B15" s="38" t="s">
        <v>132</v>
      </c>
      <c r="C15" s="37">
        <f>IFERROR(VLOOKUP(Table813[[#This Row],[EXPENSE CATEGORIES]],'Expense Inputs'!B:F,3,FALSE),"-")</f>
        <v>650</v>
      </c>
      <c r="D15" s="37">
        <f>IFERROR(VLOOKUP(Table813[[#This Row],[EXPENSE CATEGORIES]],'Expense Inputs'!B:F,4,FALSE),"-")</f>
        <v>665</v>
      </c>
      <c r="E15" s="47">
        <f>IFERROR(Table813[[#This Row],[ACTUAL]]-Table813[[#This Row],[ESTIMATED]],"-")</f>
        <v>15</v>
      </c>
      <c r="F15" s="42" t="str">
        <f>IF(Table813[[#This Row],[DIFFERENCE]]&lt;0,"You are under budget!","You are over budget.")</f>
        <v>You are over budget.</v>
      </c>
      <c r="R15" s="10"/>
      <c r="S15" s="10"/>
    </row>
    <row r="16" spans="2:21" ht="30" customHeight="1">
      <c r="B16" s="38" t="s">
        <v>133</v>
      </c>
      <c r="C16" s="37">
        <f>IFERROR(VLOOKUP(Table813[[#This Row],[EXPENSE CATEGORIES]],'Expense Inputs'!B:F,3,FALSE),"-")</f>
        <v>650</v>
      </c>
      <c r="D16" s="37">
        <f>IFERROR(VLOOKUP(Table813[[#This Row],[EXPENSE CATEGORIES]],'Expense Inputs'!B:F,4,FALSE),"-")</f>
        <v>667</v>
      </c>
      <c r="E16" s="47">
        <f>IFERROR(Table813[[#This Row],[ACTUAL]]-Table813[[#This Row],[ESTIMATED]],"-")</f>
        <v>17</v>
      </c>
      <c r="F16" s="42" t="str">
        <f>IF(Table813[[#This Row],[DIFFERENCE]]&lt;0,"You are under budget!","You are over budget.")</f>
        <v>You are over budget.</v>
      </c>
      <c r="R16" s="10"/>
      <c r="S16" s="10"/>
    </row>
    <row r="17" spans="2:22" ht="30" customHeight="1">
      <c r="B17" s="38" t="s">
        <v>134</v>
      </c>
      <c r="C17" s="37">
        <f>IFERROR(VLOOKUP(Table813[[#This Row],[EXPENSE CATEGORIES]],'Expense Inputs'!B:F,3,FALSE),"-")</f>
        <v>650</v>
      </c>
      <c r="D17" s="37">
        <f>IFERROR(VLOOKUP(Table813[[#This Row],[EXPENSE CATEGORIES]],'Expense Inputs'!B:F,4,FALSE),"-")</f>
        <v>667</v>
      </c>
      <c r="E17" s="47">
        <f>IFERROR(Table813[[#This Row],[ACTUAL]]-Table813[[#This Row],[ESTIMATED]],"-")</f>
        <v>17</v>
      </c>
      <c r="F17" s="42" t="str">
        <f>IF(Table813[[#This Row],[DIFFERENCE]]&lt;0,"You are under budget!","You are over budget.")</f>
        <v>You are over budget.</v>
      </c>
      <c r="R17" s="10"/>
      <c r="S17" s="10"/>
    </row>
    <row r="18" spans="2:22" ht="30" customHeight="1">
      <c r="B18" s="38" t="s">
        <v>135</v>
      </c>
      <c r="C18" s="37">
        <f>IFERROR(VLOOKUP(Table813[[#This Row],[EXPENSE CATEGORIES]],'Expense Inputs'!B:F,3,FALSE),"-")</f>
        <v>1150</v>
      </c>
      <c r="D18" s="37">
        <f>IFERROR(VLOOKUP(Table813[[#This Row],[EXPENSE CATEGORIES]],'Expense Inputs'!B:F,4,FALSE),"-")</f>
        <v>1090</v>
      </c>
      <c r="E18" s="47">
        <f>IFERROR(Table813[[#This Row],[ACTUAL]]-Table813[[#This Row],[ESTIMATED]],"-")</f>
        <v>-60</v>
      </c>
      <c r="F18" s="42" t="str">
        <f>IF(Table813[[#This Row],[DIFFERENCE]]&lt;0,"You are under budget!","You are over budget.")</f>
        <v>You are under budget!</v>
      </c>
      <c r="R18" s="10"/>
      <c r="S18" s="10"/>
    </row>
    <row r="19" spans="2:22" ht="30" customHeight="1">
      <c r="B19" s="38" t="s">
        <v>136</v>
      </c>
      <c r="C19" s="37">
        <f>IFERROR(VLOOKUP(Table813[[#This Row],[EXPENSE CATEGORIES]],'Expense Inputs'!B:F,3,FALSE),"-")</f>
        <v>330</v>
      </c>
      <c r="D19" s="37">
        <f>IFERROR(VLOOKUP(Table813[[#This Row],[EXPENSE CATEGORIES]],'Expense Inputs'!B:F,4,FALSE),"-")</f>
        <v>330</v>
      </c>
      <c r="E19" s="47">
        <f>IFERROR(Table813[[#This Row],[ACTUAL]]-Table813[[#This Row],[ESTIMATED]],"-")</f>
        <v>0</v>
      </c>
      <c r="F19" s="42" t="str">
        <f>IF(Table813[[#This Row],[DIFFERENCE]]&lt;0,"You are under budget!","You are over budget.")</f>
        <v>You are over budget.</v>
      </c>
      <c r="R19" s="10"/>
      <c r="S19" s="10"/>
    </row>
    <row r="20" spans="2:22" ht="30" customHeight="1">
      <c r="B20" s="38" t="s">
        <v>137</v>
      </c>
      <c r="C20" s="37">
        <f>IFERROR(VLOOKUP(Table813[[#This Row],[EXPENSE CATEGORIES]],'Expense Inputs'!B:F,3,FALSE),"-")</f>
        <v>900</v>
      </c>
      <c r="D20" s="37">
        <f>IFERROR(VLOOKUP(Table813[[#This Row],[EXPENSE CATEGORIES]],'Expense Inputs'!B:F,4,FALSE),"-")</f>
        <v>950</v>
      </c>
      <c r="E20" s="47">
        <f>IFERROR(Table813[[#This Row],[ACTUAL]]-Table813[[#This Row],[ESTIMATED]],"-")</f>
        <v>50</v>
      </c>
      <c r="F20" s="42" t="str">
        <f>IF(Table813[[#This Row],[DIFFERENCE]]&lt;0,"You are under budget!","You are over budget.")</f>
        <v>You are over budget.</v>
      </c>
      <c r="R20" s="10"/>
      <c r="S20" s="10"/>
      <c r="T20" s="11"/>
      <c r="U20" s="11"/>
      <c r="V20" s="11"/>
    </row>
    <row r="21" spans="2:22" ht="30" customHeight="1">
      <c r="B21" s="38" t="s">
        <v>138</v>
      </c>
      <c r="C21" s="37">
        <f>IFERROR(VLOOKUP(Table813[[#This Row],[EXPENSE CATEGORIES]],'Expense Inputs'!B:F,3,FALSE),"-")</f>
        <v>0</v>
      </c>
      <c r="D21" s="37">
        <f>IFERROR(VLOOKUP(Table813[[#This Row],[EXPENSE CATEGORIES]],'Expense Inputs'!B:F,4,FALSE),"-")</f>
        <v>0</v>
      </c>
      <c r="E21" s="47">
        <f>IFERROR(Table813[[#This Row],[ACTUAL]]-Table813[[#This Row],[ESTIMATED]],"-")</f>
        <v>0</v>
      </c>
      <c r="F21" s="42" t="str">
        <f>IF(Table813[[#This Row],[DIFFERENCE]]&lt;0,"You are under budget!","You are over budget.")</f>
        <v>You are over budget.</v>
      </c>
      <c r="R21" s="10"/>
      <c r="S21" s="10"/>
    </row>
    <row r="22" spans="2:22" ht="30" customHeight="1" thickBot="1">
      <c r="B22" s="38" t="s">
        <v>139</v>
      </c>
      <c r="C22" s="37">
        <f>IFERROR(VLOOKUP(Table813[[#This Row],[EXPENSE CATEGORIES]],'Expense Inputs'!B:F,3,FALSE),"-")</f>
        <v>200</v>
      </c>
      <c r="D22" s="37">
        <f>IFERROR(VLOOKUP(Table813[[#This Row],[EXPENSE CATEGORIES]],'Expense Inputs'!B:F,4,FALSE),"-")</f>
        <v>450</v>
      </c>
      <c r="E22" s="47">
        <f>IFERROR(Table813[[#This Row],[ACTUAL]]-Table813[[#This Row],[ESTIMATED]],"-")</f>
        <v>250</v>
      </c>
      <c r="F22" s="42" t="str">
        <f>IF(Table813[[#This Row],[DIFFERENCE]]&lt;0,"You are under budget!","You are over budget.")</f>
        <v>You are over budget.</v>
      </c>
      <c r="R22" s="10"/>
      <c r="S22" s="10"/>
    </row>
    <row r="23" spans="2:22" ht="30" customHeight="1" thickTop="1">
      <c r="B23" s="40" t="s">
        <v>128</v>
      </c>
      <c r="C23" s="41">
        <f>SUBTOTAL(9,C16:C22)</f>
        <v>3880</v>
      </c>
      <c r="D23" s="41">
        <f>SUBTOTAL(9,D16:D22)</f>
        <v>4154</v>
      </c>
      <c r="E23" s="47">
        <f>Table813[[#This Row],[ACTUAL]]-Table813[[#This Row],[ESTIMATED]]</f>
        <v>274</v>
      </c>
      <c r="F23" s="41" t="str">
        <f>IF(Table813[[#This Row],[DIFFERENCE]]&lt;0,"You are under budget!","You are over budget.")</f>
        <v>You are over budget.</v>
      </c>
      <c r="R23" s="10"/>
      <c r="S23" s="10"/>
    </row>
    <row r="24" spans="2:22" ht="30" customHeight="1">
      <c r="R24" s="10"/>
      <c r="S24" s="10"/>
    </row>
    <row r="25" spans="2:22" ht="30" customHeight="1">
      <c r="R25" s="10"/>
      <c r="S25" s="10"/>
    </row>
    <row r="26" spans="2:22" ht="30" customHeight="1">
      <c r="R26" s="10"/>
      <c r="S26" s="10"/>
    </row>
    <row r="27" spans="2:22" ht="30" customHeight="1">
      <c r="R27" s="10"/>
      <c r="S27" s="10"/>
    </row>
    <row r="28" spans="2:22" ht="30" customHeight="1">
      <c r="R28" s="10"/>
      <c r="S28" s="10"/>
    </row>
    <row r="29" spans="2:22" ht="30" customHeight="1">
      <c r="R29" s="10"/>
      <c r="S29" s="10"/>
    </row>
    <row r="30" spans="2:22" ht="30" customHeight="1">
      <c r="R30" s="10"/>
      <c r="S30" s="10"/>
    </row>
    <row r="31" spans="2:22" ht="30" customHeight="1">
      <c r="R31" s="10"/>
      <c r="S31" s="10"/>
    </row>
  </sheetData>
  <sheetProtection insertColumns="0" insertRows="0" deleteColumns="0" deleteRows="0" selectLockedCells="1" autoFilter="0"/>
  <mergeCells count="1">
    <mergeCell ref="H1:T2"/>
  </mergeCells>
  <conditionalFormatting sqref="C7:F7 C12:F12 C24:F55 J13:L31 P13:R31">
    <cfRule type="cellIs" dxfId="36" priority="29" operator="lessThan">
      <formula>0</formula>
    </cfRule>
  </conditionalFormatting>
  <conditionalFormatting sqref="C9:D11">
    <cfRule type="cellIs" dxfId="35" priority="24" operator="lessThan">
      <formula>0</formula>
    </cfRule>
  </conditionalFormatting>
  <conditionalFormatting sqref="C8:F8">
    <cfRule type="cellIs" dxfId="34" priority="20" operator="lessThan">
      <formula>0</formula>
    </cfRule>
  </conditionalFormatting>
  <conditionalFormatting sqref="F7:F11 E15:E23">
    <cfRule type="cellIs" dxfId="33" priority="18" operator="greaterThan">
      <formula>0</formula>
    </cfRule>
    <cfRule type="cellIs" dxfId="32" priority="19" operator="lessThan">
      <formula>0</formula>
    </cfRule>
  </conditionalFormatting>
  <conditionalFormatting sqref="F9:F11">
    <cfRule type="cellIs" dxfId="31" priority="17" operator="lessThan">
      <formula>0</formula>
    </cfRule>
  </conditionalFormatting>
  <conditionalFormatting sqref="F7">
    <cfRule type="cellIs" dxfId="30" priority="15" operator="lessThan">
      <formula>0</formula>
    </cfRule>
    <cfRule type="cellIs" dxfId="29" priority="16" operator="greaterThan">
      <formula>0</formula>
    </cfRule>
  </conditionalFormatting>
  <conditionalFormatting sqref="F9:F11">
    <cfRule type="cellIs" dxfId="28" priority="14" operator="lessThan">
      <formula>0</formula>
    </cfRule>
  </conditionalFormatting>
  <conditionalFormatting sqref="F9:F11">
    <cfRule type="cellIs" dxfId="27" priority="12" operator="lessThan">
      <formula>0</formula>
    </cfRule>
    <cfRule type="cellIs" dxfId="26" priority="13" operator="greaterThan">
      <formula>0</formula>
    </cfRule>
  </conditionalFormatting>
  <conditionalFormatting sqref="E7">
    <cfRule type="cellIs" dxfId="25" priority="10" operator="greaterThan">
      <formula>0</formula>
    </cfRule>
    <cfRule type="cellIs" dxfId="24" priority="11" operator="lessThan">
      <formula>0</formula>
    </cfRule>
  </conditionalFormatting>
  <conditionalFormatting sqref="E9:E11">
    <cfRule type="cellIs" dxfId="23" priority="9" operator="lessThan">
      <formula>0</formula>
    </cfRule>
  </conditionalFormatting>
  <conditionalFormatting sqref="E9:E11">
    <cfRule type="cellIs" dxfId="22" priority="7" operator="greaterThan">
      <formula>0</formula>
    </cfRule>
    <cfRule type="cellIs" dxfId="21" priority="8" operator="lessThan">
      <formula>0</formula>
    </cfRule>
  </conditionalFormatting>
  <conditionalFormatting sqref="E8">
    <cfRule type="cellIs" dxfId="20" priority="5" operator="greaterThan">
      <formula>0</formula>
    </cfRule>
    <cfRule type="cellIs" dxfId="19" priority="6" operator="lessThan">
      <formula>0</formula>
    </cfRule>
  </conditionalFormatting>
  <conditionalFormatting sqref="E23:F23">
    <cfRule type="cellIs" dxfId="18" priority="4" operator="lessThan">
      <formula>0</formula>
    </cfRule>
  </conditionalFormatting>
  <conditionalFormatting sqref="E15:E23">
    <cfRule type="cellIs" dxfId="17" priority="1" operator="equal">
      <formula>"-"</formula>
    </cfRule>
  </conditionalFormatting>
  <dataValidations xWindow="491" yWindow="291" count="4">
    <dataValidation allowBlank="1" showInputMessage="1" showErrorMessage="1" prompt="Enter Company Name in this cell" sqref="N18" xr:uid="{00000000-0002-0000-0000-000001000000}"/>
    <dataValidation allowBlank="1" showInputMessage="1" showErrorMessage="1" prompt="Enter Date in this cell. Budget overview chart is in cell B9" sqref="Q19:R19" xr:uid="{00000000-0002-0000-0000-000002000000}"/>
    <dataValidation allowBlank="1" showInputMessage="1" showErrorMessage="1" prompt="Title of this worksheet is in this cell. Enter Date in cell at right. Budget Totals are automatically calculated in Totals table starting in cell B4" sqref="N19:P22 Q20:V20" xr:uid="{00000000-0002-0000-0000-00000C000000}"/>
    <dataValidation allowBlank="1" showInputMessage="1" showErrorMessage="1" errorTitle="ALERT" error="This cell is automatically populated and should not be overwitten. Overwriting this cell would break calculations in this worksheet." sqref="E15:E22" xr:uid="{D63A6D3A-3050-4E13-980C-5855824BE398}"/>
  </dataValidations>
  <printOptions horizontalCentered="1"/>
  <pageMargins left="0.25" right="0.25" top="0.25" bottom="0.25" header="0" footer="0"/>
  <pageSetup scale="50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TM23032109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Jason Melman</cp:lastModifiedBy>
  <cp:revision/>
  <dcterms:created xsi:type="dcterms:W3CDTF">2022-01-03T23:29:59Z</dcterms:created>
  <dcterms:modified xsi:type="dcterms:W3CDTF">2022-05-25T18:19:29Z</dcterms:modified>
  <cp:category/>
  <cp:contentStatus/>
</cp:coreProperties>
</file>